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6780" windowHeight="4290" tabRatio="145" activeTab="0"/>
  </bookViews>
  <sheets>
    <sheet name="Hoj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PLANIFICACION</author>
  </authors>
  <commentList>
    <comment ref="I17" authorId="0">
      <text>
        <r>
          <rPr>
            <b/>
            <sz val="8"/>
            <rFont val="Tahoma"/>
            <family val="0"/>
          </rPr>
          <t>PLANIFICACION:</t>
        </r>
        <r>
          <rPr>
            <sz val="8"/>
            <rFont val="Tahoma"/>
            <family val="0"/>
          </rPr>
          <t xml:space="preserve">
beneficio en granja</t>
        </r>
      </text>
    </comment>
    <comment ref="E48" authorId="0">
      <text>
        <r>
          <rPr>
            <b/>
            <sz val="8"/>
            <rFont val="Tahoma"/>
            <family val="0"/>
          </rPr>
          <t>PLANIFICACION:</t>
        </r>
        <r>
          <rPr>
            <sz val="8"/>
            <rFont val="Tahoma"/>
            <family val="0"/>
          </rPr>
          <t xml:space="preserve">
existe un intenso verano en la zona . Hay fincas que no estan en produccion.</t>
        </r>
      </text>
    </comment>
    <comment ref="I126" authorId="0">
      <text>
        <r>
          <rPr>
            <b/>
            <sz val="8"/>
            <rFont val="Tahoma"/>
            <family val="0"/>
          </rPr>
          <t>PLANIFICACION:</t>
        </r>
        <r>
          <rPr>
            <sz val="8"/>
            <rFont val="Tahoma"/>
            <family val="0"/>
          </rPr>
          <t xml:space="preserve">
fueron incorporadas 2 ganjas</t>
        </r>
      </text>
    </comment>
  </commentList>
</comments>
</file>

<file path=xl/sharedStrings.xml><?xml version="1.0" encoding="utf-8"?>
<sst xmlns="http://schemas.openxmlformats.org/spreadsheetml/2006/main" count="728" uniqueCount="92">
  <si>
    <t>RUBROS</t>
  </si>
  <si>
    <t>TORRES</t>
  </si>
  <si>
    <t>JIMENEZ</t>
  </si>
  <si>
    <t>MORAN</t>
  </si>
  <si>
    <t>CRESPO</t>
  </si>
  <si>
    <t>URDANETA</t>
  </si>
  <si>
    <t>IRIBARREN</t>
  </si>
  <si>
    <t>A. E. B.</t>
  </si>
  <si>
    <t>TOTAL</t>
  </si>
  <si>
    <t>UNIDAD</t>
  </si>
  <si>
    <t>CABEZAS</t>
  </si>
  <si>
    <t>KILOS</t>
  </si>
  <si>
    <t>LITROS</t>
  </si>
  <si>
    <t xml:space="preserve">E </t>
  </si>
  <si>
    <t xml:space="preserve">F </t>
  </si>
  <si>
    <t>M</t>
  </si>
  <si>
    <t>A</t>
  </si>
  <si>
    <t>J</t>
  </si>
  <si>
    <t>S</t>
  </si>
  <si>
    <t>O</t>
  </si>
  <si>
    <t>N</t>
  </si>
  <si>
    <t>D</t>
  </si>
  <si>
    <t>PALAVECINO</t>
  </si>
  <si>
    <t>SIMON PL.</t>
  </si>
  <si>
    <t>UNID.</t>
  </si>
  <si>
    <t>%</t>
  </si>
  <si>
    <t>HUEVOS C. (und.) (3)</t>
  </si>
  <si>
    <t>CONEJOS     C. (2)</t>
  </si>
  <si>
    <t>CONEJOS     K.(2)</t>
  </si>
  <si>
    <t>LECHE (lts)    (4)</t>
  </si>
  <si>
    <t>QUESO (kg)    (1)</t>
  </si>
  <si>
    <t>POLLOS    C, B. (1)</t>
  </si>
  <si>
    <t>GALLINAS     C.(1)</t>
  </si>
  <si>
    <t>KG/CAN.</t>
  </si>
  <si>
    <t>CONEJOS    C. (2)</t>
  </si>
  <si>
    <t>MIEL   K   (3)</t>
  </si>
  <si>
    <t>MIEL    K     (3)</t>
  </si>
  <si>
    <t>MIEL     K      (3)</t>
  </si>
  <si>
    <t>HUEVOS C. (U.) (3)</t>
  </si>
  <si>
    <t>H.INCUBABL.(U)(3)</t>
  </si>
  <si>
    <t>HUEVOS C. (U) (3)</t>
  </si>
  <si>
    <t>KG/CARNE</t>
  </si>
  <si>
    <t xml:space="preserve">BOVINOS  C.T.(1) </t>
  </si>
  <si>
    <t>BOVINOS    C.  B.(1)</t>
  </si>
  <si>
    <t>PORCINOS  C. T.(1)</t>
  </si>
  <si>
    <t>PORCINOS   C.B.(1)</t>
  </si>
  <si>
    <t>CAPRINOS   C.T.(1)</t>
  </si>
  <si>
    <t>CAPRINOS  C. B.(1)</t>
  </si>
  <si>
    <t>OVINOS      C.  T.(1)</t>
  </si>
  <si>
    <t>OVINOS       C.  B.(1)</t>
  </si>
  <si>
    <t xml:space="preserve">BOVINOS C.T.(1) </t>
  </si>
  <si>
    <t>BOVINOS C.  B.(1)</t>
  </si>
  <si>
    <t>PORCINOS C. T.(1)</t>
  </si>
  <si>
    <t>PORCINOS C.B.(1)</t>
  </si>
  <si>
    <t>CAPRINOS  C.T.(1)</t>
  </si>
  <si>
    <t>CAPRINOS C. B.(1)</t>
  </si>
  <si>
    <t>OVINOS   C.  T.(1)</t>
  </si>
  <si>
    <t>OVINOS     C.  B.(1)</t>
  </si>
  <si>
    <t xml:space="preserve"> H.INCUB.(U)       (3)</t>
  </si>
  <si>
    <t xml:space="preserve"> </t>
  </si>
  <si>
    <t xml:space="preserve"> H. INCUBABLES(U)(3)</t>
  </si>
  <si>
    <t xml:space="preserve">BUFALOS C.T. (1) </t>
  </si>
  <si>
    <t xml:space="preserve">BUFALOS C.B. (1) </t>
  </si>
  <si>
    <t>BUFALOS</t>
  </si>
  <si>
    <t>BUFALOS c. t (1)</t>
  </si>
  <si>
    <t>BUFALOS C. B (1)</t>
  </si>
  <si>
    <t>BUFALOS C.T.(1)</t>
  </si>
  <si>
    <t>BUFALOS C.B. (1)</t>
  </si>
  <si>
    <t>BUFALOS  C. T (1)</t>
  </si>
  <si>
    <t>BUFALOS C. B. (1)</t>
  </si>
  <si>
    <t>Cabezas</t>
  </si>
  <si>
    <t>Kg/Canal</t>
  </si>
  <si>
    <t>Litros</t>
  </si>
  <si>
    <t>Kilos</t>
  </si>
  <si>
    <t>Unidad</t>
  </si>
  <si>
    <t xml:space="preserve">FuenteDivision de Planificacion: (1) Informe de movilizacion, (2) Informe de matadero,(3) Informe de granjas, (4) Informe de leche. </t>
  </si>
  <si>
    <t>T: Total, B:Beneficio, C:Cabezas, Kilos.</t>
  </si>
  <si>
    <t>Mes: Marzo</t>
  </si>
  <si>
    <t>Mes: Abril</t>
  </si>
  <si>
    <t>Mes: Mayo</t>
  </si>
  <si>
    <t>Mes: Junio</t>
  </si>
  <si>
    <t>Mes: Julio</t>
  </si>
  <si>
    <t>Mes: Agosto</t>
  </si>
  <si>
    <t>Mes: Septiembre</t>
  </si>
  <si>
    <t>Mes:Octubre</t>
  </si>
  <si>
    <t>Mes: Noviembre</t>
  </si>
  <si>
    <t>Mes: Diciembre</t>
  </si>
  <si>
    <t xml:space="preserve">Fuente Division de Planificacion: (1) Informe de movilizacion, (2) Informe de matadero,(3) Informe de granjas, (4) Informe de leche. </t>
  </si>
  <si>
    <t>PRODUCCION ACUMULADA POR MUNICIPIO ENERO 2008</t>
  </si>
  <si>
    <t>ENERO</t>
  </si>
  <si>
    <t>Febrero</t>
  </si>
  <si>
    <t>PRODUCCION POR MUNICIPIO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</si>
</sst>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Bs.&quot;#,##0_);\(&quot;Bs.&quot;#,##0\)"/>
    <numFmt numFmtId="181" formatCode="&quot;Bs.&quot;#,##0_);[Red]\(&quot;Bs.&quot;#,##0\)"/>
    <numFmt numFmtId="182" formatCode="&quot;Bs.&quot;#,##0.00_);\(&quot;Bs.&quot;#,##0.00\)"/>
    <numFmt numFmtId="183" formatCode="&quot;Bs.&quot;#,##0.00_);[Red]\(&quot;Bs.&quot;#,##0.00\)"/>
    <numFmt numFmtId="184" formatCode="_(&quot;Bs.&quot;* #,##0_);_(&quot;Bs.&quot;* \(#,##0\);_(&quot;Bs.&quot;* &quot;-&quot;_);_(@_)"/>
    <numFmt numFmtId="185" formatCode="_(&quot;Bs.&quot;* #,##0.00_);_(&quot;Bs.&quot;* \(#,##0.00\);_(&quot;Bs.&quot;* &quot;-&quot;??_);_(@_)"/>
    <numFmt numFmtId="186" formatCode="_(* #,##0.000_);_(* \(#,##0.000\);_(* &quot;-&quot;??_);_(@_)"/>
    <numFmt numFmtId="187" formatCode="_(* #,##0.0_);_(* \(#,##0.0\);_(* &quot;-&quot;??_);_(@_)"/>
    <numFmt numFmtId="188" formatCode="_(* #,##0_);_(* \(#,##0\);_(* &quot;-&quot;??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000"/>
    <numFmt numFmtId="193" formatCode="0.000"/>
    <numFmt numFmtId="194" formatCode="0.0"/>
    <numFmt numFmtId="195" formatCode="#,##0.0"/>
  </numFmts>
  <fonts count="18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24"/>
      <name val="Arial"/>
      <family val="0"/>
    </font>
    <font>
      <sz val="8"/>
      <color indexed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188" fontId="0" fillId="0" borderId="3" xfId="17" applyNumberFormat="1" applyFill="1" applyBorder="1" applyAlignment="1">
      <alignment/>
    </xf>
    <xf numFmtId="188" fontId="0" fillId="0" borderId="4" xfId="17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Fill="1" applyBorder="1" applyAlignment="1">
      <alignment/>
    </xf>
    <xf numFmtId="188" fontId="0" fillId="0" borderId="6" xfId="17" applyNumberFormat="1" applyFill="1" applyBorder="1" applyAlignment="1">
      <alignment/>
    </xf>
    <xf numFmtId="0" fontId="0" fillId="0" borderId="4" xfId="0" applyBorder="1" applyAlignment="1">
      <alignment/>
    </xf>
    <xf numFmtId="0" fontId="0" fillId="0" borderId="7" xfId="0" applyFill="1" applyBorder="1" applyAlignment="1">
      <alignment/>
    </xf>
    <xf numFmtId="0" fontId="8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/>
      <protection locked="0"/>
    </xf>
    <xf numFmtId="188" fontId="0" fillId="0" borderId="12" xfId="17" applyNumberFormat="1" applyFont="1" applyFill="1" applyBorder="1" applyAlignment="1">
      <alignment/>
    </xf>
    <xf numFmtId="188" fontId="0" fillId="0" borderId="0" xfId="17" applyNumberFormat="1" applyFill="1" applyBorder="1" applyAlignment="1">
      <alignment/>
    </xf>
    <xf numFmtId="0" fontId="0" fillId="0" borderId="0" xfId="0" applyFont="1" applyBorder="1" applyAlignment="1">
      <alignment/>
    </xf>
    <xf numFmtId="188" fontId="0" fillId="0" borderId="11" xfId="17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188" fontId="0" fillId="0" borderId="4" xfId="17" applyNumberFormat="1" applyFont="1" applyFill="1" applyBorder="1" applyAlignment="1">
      <alignment/>
    </xf>
    <xf numFmtId="188" fontId="0" fillId="0" borderId="13" xfId="0" applyNumberFormat="1" applyFill="1" applyBorder="1" applyAlignment="1">
      <alignment/>
    </xf>
    <xf numFmtId="0" fontId="0" fillId="0" borderId="15" xfId="0" applyFont="1" applyBorder="1" applyAlignment="1" applyProtection="1">
      <alignment/>
      <protection locked="0"/>
    </xf>
    <xf numFmtId="188" fontId="0" fillId="0" borderId="3" xfId="17" applyNumberFormat="1" applyFont="1" applyFill="1" applyBorder="1" applyAlignment="1">
      <alignment/>
    </xf>
    <xf numFmtId="188" fontId="0" fillId="0" borderId="11" xfId="0" applyNumberFormat="1" applyFont="1" applyFill="1" applyBorder="1" applyAlignment="1" applyProtection="1">
      <alignment/>
      <protection locked="0"/>
    </xf>
    <xf numFmtId="188" fontId="0" fillId="0" borderId="16" xfId="0" applyNumberFormat="1" applyFont="1" applyFill="1" applyBorder="1" applyAlignment="1" applyProtection="1">
      <alignment/>
      <protection locked="0"/>
    </xf>
    <xf numFmtId="188" fontId="0" fillId="0" borderId="3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88" fontId="0" fillId="0" borderId="3" xfId="17" applyNumberFormat="1" applyFont="1" applyFill="1" applyBorder="1" applyAlignment="1">
      <alignment/>
    </xf>
    <xf numFmtId="188" fontId="0" fillId="0" borderId="11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2" fontId="0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188" fontId="3" fillId="0" borderId="3" xfId="17" applyNumberFormat="1" applyFont="1" applyBorder="1" applyAlignment="1">
      <alignment/>
    </xf>
    <xf numFmtId="188" fontId="3" fillId="0" borderId="20" xfId="17" applyNumberFormat="1" applyFont="1" applyBorder="1" applyAlignment="1">
      <alignment/>
    </xf>
    <xf numFmtId="0" fontId="3" fillId="0" borderId="3" xfId="0" applyFont="1" applyBorder="1" applyAlignment="1">
      <alignment/>
    </xf>
    <xf numFmtId="188" fontId="0" fillId="0" borderId="11" xfId="17" applyNumberFormat="1" applyFont="1" applyFill="1" applyBorder="1" applyAlignment="1">
      <alignment/>
    </xf>
    <xf numFmtId="188" fontId="3" fillId="0" borderId="3" xfId="17" applyNumberFormat="1" applyFont="1" applyFill="1" applyBorder="1" applyAlignment="1">
      <alignment/>
    </xf>
    <xf numFmtId="188" fontId="3" fillId="0" borderId="6" xfId="17" applyNumberFormat="1" applyFont="1" applyBorder="1" applyAlignment="1">
      <alignment/>
    </xf>
    <xf numFmtId="0" fontId="3" fillId="0" borderId="4" xfId="0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0" fontId="0" fillId="3" borderId="10" xfId="0" applyFill="1" applyBorder="1" applyAlignment="1">
      <alignment horizontal="center"/>
    </xf>
    <xf numFmtId="188" fontId="0" fillId="0" borderId="18" xfId="0" applyNumberFormat="1" applyFont="1" applyFill="1" applyBorder="1" applyAlignment="1" applyProtection="1">
      <alignment/>
      <protection locked="0"/>
    </xf>
    <xf numFmtId="3" fontId="0" fillId="4" borderId="11" xfId="0" applyNumberFormat="1" applyFont="1" applyFill="1" applyBorder="1" applyAlignment="1" applyProtection="1">
      <alignment/>
      <protection locked="0"/>
    </xf>
    <xf numFmtId="188" fontId="0" fillId="0" borderId="11" xfId="17" applyNumberFormat="1" applyFont="1" applyFill="1" applyBorder="1" applyAlignment="1" applyProtection="1">
      <alignment/>
      <protection locked="0"/>
    </xf>
    <xf numFmtId="188" fontId="0" fillId="4" borderId="11" xfId="17" applyNumberFormat="1" applyFont="1" applyFill="1" applyBorder="1" applyAlignment="1" applyProtection="1">
      <alignment/>
      <protection locked="0"/>
    </xf>
    <xf numFmtId="188" fontId="0" fillId="4" borderId="11" xfId="0" applyNumberFormat="1" applyFont="1" applyFill="1" applyBorder="1" applyAlignment="1" applyProtection="1">
      <alignment/>
      <protection locked="0"/>
    </xf>
    <xf numFmtId="188" fontId="0" fillId="0" borderId="3" xfId="17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188" fontId="3" fillId="0" borderId="4" xfId="17" applyNumberFormat="1" applyFont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Border="1" applyAlignment="1">
      <alignment/>
    </xf>
    <xf numFmtId="0" fontId="15" fillId="0" borderId="0" xfId="0" applyFont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88" fontId="0" fillId="0" borderId="23" xfId="17" applyNumberFormat="1" applyFill="1" applyBorder="1" applyAlignment="1">
      <alignment/>
    </xf>
    <xf numFmtId="188" fontId="0" fillId="0" borderId="24" xfId="17" applyNumberFormat="1" applyFont="1" applyFill="1" applyBorder="1" applyAlignment="1">
      <alignment/>
    </xf>
    <xf numFmtId="188" fontId="0" fillId="0" borderId="13" xfId="17" applyNumberFormat="1" applyFill="1" applyBorder="1" applyAlignment="1">
      <alignment/>
    </xf>
    <xf numFmtId="188" fontId="0" fillId="0" borderId="25" xfId="17" applyNumberFormat="1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18" xfId="0" applyNumberFormat="1" applyFont="1" applyFill="1" applyBorder="1" applyAlignment="1" applyProtection="1">
      <alignment/>
      <protection locked="0"/>
    </xf>
    <xf numFmtId="188" fontId="0" fillId="0" borderId="19" xfId="0" applyNumberFormat="1" applyFon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0</xdr:row>
      <xdr:rowOff>28575</xdr:rowOff>
    </xdr:from>
    <xdr:ext cx="2543175" cy="457200"/>
    <xdr:sp>
      <xdr:nvSpPr>
        <xdr:cNvPr id="1" name="TextBox 1"/>
        <xdr:cNvSpPr txBox="1">
          <a:spLocks noChangeArrowheads="1"/>
        </xdr:cNvSpPr>
      </xdr:nvSpPr>
      <xdr:spPr>
        <a:xfrm>
          <a:off x="152400" y="28575"/>
          <a:ext cx="25431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Times New Roman"/>
              <a:ea typeface="Times New Roman"/>
              <a:cs typeface="Times New Roman"/>
            </a:rPr>
            <a:t>MINISTERIO  DE  AGRICULTURA Y TIERRAS
U.E.M.A.T. LARA
DIVISION DE PLANIFICACION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5</xdr:col>
      <xdr:colOff>38100</xdr:colOff>
      <xdr:row>3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4343400" y="52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3</xdr:row>
      <xdr:rowOff>0</xdr:rowOff>
    </xdr:from>
    <xdr:ext cx="2933700" cy="285750"/>
    <xdr:sp>
      <xdr:nvSpPr>
        <xdr:cNvPr id="3" name="TextBox 3"/>
        <xdr:cNvSpPr txBox="1">
          <a:spLocks noChangeArrowheads="1"/>
        </xdr:cNvSpPr>
      </xdr:nvSpPr>
      <xdr:spPr>
        <a:xfrm>
          <a:off x="2933700" y="523875"/>
          <a:ext cx="29337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PRODUCCION POR MUNICIPIO 2008    </a:t>
          </a:r>
        </a:p>
      </xdr:txBody>
    </xdr:sp>
    <xdr:clientData/>
  </xdr:oneCellAnchor>
  <xdr:oneCellAnchor>
    <xdr:from>
      <xdr:col>9</xdr:col>
      <xdr:colOff>381000</xdr:colOff>
      <xdr:row>4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7867650" y="72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657225</xdr:colOff>
      <xdr:row>29</xdr:row>
      <xdr:rowOff>0</xdr:rowOff>
    </xdr:from>
    <xdr:ext cx="76200" cy="200025"/>
    <xdr:sp>
      <xdr:nvSpPr>
        <xdr:cNvPr id="5" name="TextBox 7"/>
        <xdr:cNvSpPr txBox="1">
          <a:spLocks noChangeArrowheads="1"/>
        </xdr:cNvSpPr>
      </xdr:nvSpPr>
      <xdr:spPr>
        <a:xfrm>
          <a:off x="657225" y="486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27</xdr:row>
      <xdr:rowOff>38100</xdr:rowOff>
    </xdr:from>
    <xdr:ext cx="76200" cy="200025"/>
    <xdr:sp>
      <xdr:nvSpPr>
        <xdr:cNvPr id="6" name="TextBox 8"/>
        <xdr:cNvSpPr txBox="1">
          <a:spLocks noChangeArrowheads="1"/>
        </xdr:cNvSpPr>
      </xdr:nvSpPr>
      <xdr:spPr>
        <a:xfrm>
          <a:off x="7620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31</xdr:row>
      <xdr:rowOff>0</xdr:rowOff>
    </xdr:from>
    <xdr:ext cx="76200" cy="200025"/>
    <xdr:sp>
      <xdr:nvSpPr>
        <xdr:cNvPr id="7" name="TextBox 11"/>
        <xdr:cNvSpPr txBox="1">
          <a:spLocks noChangeArrowheads="1"/>
        </xdr:cNvSpPr>
      </xdr:nvSpPr>
      <xdr:spPr>
        <a:xfrm>
          <a:off x="4343400" y="5267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0</xdr:rowOff>
    </xdr:from>
    <xdr:ext cx="2657475" cy="276225"/>
    <xdr:sp>
      <xdr:nvSpPr>
        <xdr:cNvPr id="8" name="TextBox 12"/>
        <xdr:cNvSpPr txBox="1">
          <a:spLocks noChangeArrowheads="1"/>
        </xdr:cNvSpPr>
      </xdr:nvSpPr>
      <xdr:spPr>
        <a:xfrm>
          <a:off x="2847975" y="4867275"/>
          <a:ext cx="2657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PRODUCCION POR MUNICIPIO</a:t>
          </a:r>
        </a:p>
      </xdr:txBody>
    </xdr:sp>
    <xdr:clientData/>
  </xdr:oneCellAnchor>
  <xdr:oneCellAnchor>
    <xdr:from>
      <xdr:col>9</xdr:col>
      <xdr:colOff>381000</xdr:colOff>
      <xdr:row>31</xdr:row>
      <xdr:rowOff>0</xdr:rowOff>
    </xdr:from>
    <xdr:ext cx="76200" cy="200025"/>
    <xdr:sp>
      <xdr:nvSpPr>
        <xdr:cNvPr id="9" name="TextBox 13"/>
        <xdr:cNvSpPr txBox="1">
          <a:spLocks noChangeArrowheads="1"/>
        </xdr:cNvSpPr>
      </xdr:nvSpPr>
      <xdr:spPr>
        <a:xfrm>
          <a:off x="7867650" y="5267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320</xdr:row>
      <xdr:rowOff>38100</xdr:rowOff>
    </xdr:from>
    <xdr:ext cx="95250" cy="276225"/>
    <xdr:sp>
      <xdr:nvSpPr>
        <xdr:cNvPr id="10" name="TextBox 14"/>
        <xdr:cNvSpPr txBox="1">
          <a:spLocks noChangeArrowheads="1"/>
        </xdr:cNvSpPr>
      </xdr:nvSpPr>
      <xdr:spPr>
        <a:xfrm>
          <a:off x="2324100" y="533209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76200</xdr:colOff>
      <xdr:row>56</xdr:row>
      <xdr:rowOff>0</xdr:rowOff>
    </xdr:from>
    <xdr:ext cx="76200" cy="200025"/>
    <xdr:sp>
      <xdr:nvSpPr>
        <xdr:cNvPr id="11" name="TextBox 17"/>
        <xdr:cNvSpPr txBox="1">
          <a:spLocks noChangeArrowheads="1"/>
        </xdr:cNvSpPr>
      </xdr:nvSpPr>
      <xdr:spPr>
        <a:xfrm>
          <a:off x="11468100" y="948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56</xdr:row>
      <xdr:rowOff>76200</xdr:rowOff>
    </xdr:from>
    <xdr:ext cx="76200" cy="200025"/>
    <xdr:sp>
      <xdr:nvSpPr>
        <xdr:cNvPr id="12" name="TextBox 20"/>
        <xdr:cNvSpPr txBox="1">
          <a:spLocks noChangeArrowheads="1"/>
        </xdr:cNvSpPr>
      </xdr:nvSpPr>
      <xdr:spPr>
        <a:xfrm>
          <a:off x="4343400" y="956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56</xdr:row>
      <xdr:rowOff>0</xdr:rowOff>
    </xdr:from>
    <xdr:ext cx="2343150" cy="495300"/>
    <xdr:sp>
      <xdr:nvSpPr>
        <xdr:cNvPr id="13" name="TextBox 21"/>
        <xdr:cNvSpPr txBox="1">
          <a:spLocks noChangeArrowheads="1"/>
        </xdr:cNvSpPr>
      </xdr:nvSpPr>
      <xdr:spPr>
        <a:xfrm>
          <a:off x="2876550" y="9486900"/>
          <a:ext cx="23431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PRODUCCION POR MUNICIPIO</a:t>
          </a:r>
        </a:p>
      </xdr:txBody>
    </xdr:sp>
    <xdr:clientData/>
  </xdr:oneCellAnchor>
  <xdr:oneCellAnchor>
    <xdr:from>
      <xdr:col>9</xdr:col>
      <xdr:colOff>381000</xdr:colOff>
      <xdr:row>57</xdr:row>
      <xdr:rowOff>0</xdr:rowOff>
    </xdr:from>
    <xdr:ext cx="76200" cy="200025"/>
    <xdr:sp>
      <xdr:nvSpPr>
        <xdr:cNvPr id="14" name="TextBox 22"/>
        <xdr:cNvSpPr txBox="1">
          <a:spLocks noChangeArrowheads="1"/>
        </xdr:cNvSpPr>
      </xdr:nvSpPr>
      <xdr:spPr>
        <a:xfrm>
          <a:off x="7867650" y="968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81</xdr:row>
      <xdr:rowOff>0</xdr:rowOff>
    </xdr:from>
    <xdr:ext cx="76200" cy="200025"/>
    <xdr:sp>
      <xdr:nvSpPr>
        <xdr:cNvPr id="15" name="TextBox 28"/>
        <xdr:cNvSpPr txBox="1">
          <a:spLocks noChangeArrowheads="1"/>
        </xdr:cNvSpPr>
      </xdr:nvSpPr>
      <xdr:spPr>
        <a:xfrm>
          <a:off x="4343400" y="13630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81</xdr:row>
      <xdr:rowOff>0</xdr:rowOff>
    </xdr:from>
    <xdr:ext cx="2343150" cy="238125"/>
    <xdr:sp>
      <xdr:nvSpPr>
        <xdr:cNvPr id="16" name="TextBox 29"/>
        <xdr:cNvSpPr txBox="1">
          <a:spLocks noChangeArrowheads="1"/>
        </xdr:cNvSpPr>
      </xdr:nvSpPr>
      <xdr:spPr>
        <a:xfrm>
          <a:off x="2876550" y="13630275"/>
          <a:ext cx="2343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/>
            <a:t>PRODUCCION POR MUNICIPIO</a:t>
          </a:r>
        </a:p>
      </xdr:txBody>
    </xdr:sp>
    <xdr:clientData/>
  </xdr:oneCellAnchor>
  <xdr:oneCellAnchor>
    <xdr:from>
      <xdr:col>9</xdr:col>
      <xdr:colOff>381000</xdr:colOff>
      <xdr:row>82</xdr:row>
      <xdr:rowOff>0</xdr:rowOff>
    </xdr:from>
    <xdr:ext cx="76200" cy="200025"/>
    <xdr:sp>
      <xdr:nvSpPr>
        <xdr:cNvPr id="17" name="TextBox 30"/>
        <xdr:cNvSpPr txBox="1">
          <a:spLocks noChangeArrowheads="1"/>
        </xdr:cNvSpPr>
      </xdr:nvSpPr>
      <xdr:spPr>
        <a:xfrm>
          <a:off x="7867650" y="1383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107</xdr:row>
      <xdr:rowOff>0</xdr:rowOff>
    </xdr:from>
    <xdr:ext cx="76200" cy="200025"/>
    <xdr:sp>
      <xdr:nvSpPr>
        <xdr:cNvPr id="18" name="TextBox 33"/>
        <xdr:cNvSpPr txBox="1">
          <a:spLocks noChangeArrowheads="1"/>
        </xdr:cNvSpPr>
      </xdr:nvSpPr>
      <xdr:spPr>
        <a:xfrm>
          <a:off x="1704975" y="17973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107</xdr:row>
      <xdr:rowOff>0</xdr:rowOff>
    </xdr:from>
    <xdr:ext cx="76200" cy="200025"/>
    <xdr:sp>
      <xdr:nvSpPr>
        <xdr:cNvPr id="19" name="TextBox 36"/>
        <xdr:cNvSpPr txBox="1">
          <a:spLocks noChangeArrowheads="1"/>
        </xdr:cNvSpPr>
      </xdr:nvSpPr>
      <xdr:spPr>
        <a:xfrm>
          <a:off x="4343400" y="17973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107</xdr:row>
      <xdr:rowOff>0</xdr:rowOff>
    </xdr:from>
    <xdr:ext cx="76200" cy="200025"/>
    <xdr:sp>
      <xdr:nvSpPr>
        <xdr:cNvPr id="20" name="TextBox 38"/>
        <xdr:cNvSpPr txBox="1">
          <a:spLocks noChangeArrowheads="1"/>
        </xdr:cNvSpPr>
      </xdr:nvSpPr>
      <xdr:spPr>
        <a:xfrm>
          <a:off x="7867650" y="17973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81</xdr:row>
      <xdr:rowOff>0</xdr:rowOff>
    </xdr:from>
    <xdr:ext cx="95250" cy="276225"/>
    <xdr:sp>
      <xdr:nvSpPr>
        <xdr:cNvPr id="21" name="TextBox 39"/>
        <xdr:cNvSpPr txBox="1">
          <a:spLocks noChangeArrowheads="1"/>
        </xdr:cNvSpPr>
      </xdr:nvSpPr>
      <xdr:spPr>
        <a:xfrm>
          <a:off x="8248650" y="136302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132</xdr:row>
      <xdr:rowOff>0</xdr:rowOff>
    </xdr:from>
    <xdr:ext cx="76200" cy="200025"/>
    <xdr:sp>
      <xdr:nvSpPr>
        <xdr:cNvPr id="22" name="TextBox 46"/>
        <xdr:cNvSpPr txBox="1">
          <a:spLocks noChangeArrowheads="1"/>
        </xdr:cNvSpPr>
      </xdr:nvSpPr>
      <xdr:spPr>
        <a:xfrm>
          <a:off x="7867650" y="2212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154</xdr:row>
      <xdr:rowOff>76200</xdr:rowOff>
    </xdr:from>
    <xdr:ext cx="76200" cy="200025"/>
    <xdr:sp>
      <xdr:nvSpPr>
        <xdr:cNvPr id="23" name="TextBox 52"/>
        <xdr:cNvSpPr txBox="1">
          <a:spLocks noChangeArrowheads="1"/>
        </xdr:cNvSpPr>
      </xdr:nvSpPr>
      <xdr:spPr>
        <a:xfrm>
          <a:off x="4343400" y="2582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156</xdr:row>
      <xdr:rowOff>38100</xdr:rowOff>
    </xdr:from>
    <xdr:ext cx="76200" cy="200025"/>
    <xdr:sp>
      <xdr:nvSpPr>
        <xdr:cNvPr id="24" name="TextBox 54"/>
        <xdr:cNvSpPr txBox="1">
          <a:spLocks noChangeArrowheads="1"/>
        </xdr:cNvSpPr>
      </xdr:nvSpPr>
      <xdr:spPr>
        <a:xfrm>
          <a:off x="7867650" y="2610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178</xdr:row>
      <xdr:rowOff>0</xdr:rowOff>
    </xdr:from>
    <xdr:ext cx="76200" cy="200025"/>
    <xdr:sp>
      <xdr:nvSpPr>
        <xdr:cNvPr id="25" name="TextBox 60"/>
        <xdr:cNvSpPr txBox="1">
          <a:spLocks noChangeArrowheads="1"/>
        </xdr:cNvSpPr>
      </xdr:nvSpPr>
      <xdr:spPr>
        <a:xfrm>
          <a:off x="4343400" y="2972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181</xdr:row>
      <xdr:rowOff>0</xdr:rowOff>
    </xdr:from>
    <xdr:ext cx="76200" cy="200025"/>
    <xdr:sp>
      <xdr:nvSpPr>
        <xdr:cNvPr id="26" name="TextBox 62"/>
        <xdr:cNvSpPr txBox="1">
          <a:spLocks noChangeArrowheads="1"/>
        </xdr:cNvSpPr>
      </xdr:nvSpPr>
      <xdr:spPr>
        <a:xfrm>
          <a:off x="7867650" y="30213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206</xdr:row>
      <xdr:rowOff>0</xdr:rowOff>
    </xdr:from>
    <xdr:ext cx="76200" cy="200025"/>
    <xdr:sp>
      <xdr:nvSpPr>
        <xdr:cNvPr id="27" name="TextBox 68"/>
        <xdr:cNvSpPr txBox="1">
          <a:spLocks noChangeArrowheads="1"/>
        </xdr:cNvSpPr>
      </xdr:nvSpPr>
      <xdr:spPr>
        <a:xfrm>
          <a:off x="4343400" y="34356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206</xdr:row>
      <xdr:rowOff>0</xdr:rowOff>
    </xdr:from>
    <xdr:ext cx="76200" cy="200025"/>
    <xdr:sp>
      <xdr:nvSpPr>
        <xdr:cNvPr id="28" name="TextBox 70"/>
        <xdr:cNvSpPr txBox="1">
          <a:spLocks noChangeArrowheads="1"/>
        </xdr:cNvSpPr>
      </xdr:nvSpPr>
      <xdr:spPr>
        <a:xfrm>
          <a:off x="7867650" y="34356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230</xdr:row>
      <xdr:rowOff>0</xdr:rowOff>
    </xdr:from>
    <xdr:ext cx="76200" cy="200025"/>
    <xdr:sp>
      <xdr:nvSpPr>
        <xdr:cNvPr id="29" name="TextBox 76"/>
        <xdr:cNvSpPr txBox="1">
          <a:spLocks noChangeArrowheads="1"/>
        </xdr:cNvSpPr>
      </xdr:nvSpPr>
      <xdr:spPr>
        <a:xfrm>
          <a:off x="4343400" y="3833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231</xdr:row>
      <xdr:rowOff>38100</xdr:rowOff>
    </xdr:from>
    <xdr:ext cx="76200" cy="200025"/>
    <xdr:sp>
      <xdr:nvSpPr>
        <xdr:cNvPr id="30" name="TextBox 78"/>
        <xdr:cNvSpPr txBox="1">
          <a:spLocks noChangeArrowheads="1"/>
        </xdr:cNvSpPr>
      </xdr:nvSpPr>
      <xdr:spPr>
        <a:xfrm>
          <a:off x="7867650" y="3853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256</xdr:row>
      <xdr:rowOff>0</xdr:rowOff>
    </xdr:from>
    <xdr:ext cx="76200" cy="200025"/>
    <xdr:sp>
      <xdr:nvSpPr>
        <xdr:cNvPr id="31" name="TextBox 84"/>
        <xdr:cNvSpPr txBox="1">
          <a:spLocks noChangeArrowheads="1"/>
        </xdr:cNvSpPr>
      </xdr:nvSpPr>
      <xdr:spPr>
        <a:xfrm>
          <a:off x="4343400" y="426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256</xdr:row>
      <xdr:rowOff>38100</xdr:rowOff>
    </xdr:from>
    <xdr:ext cx="76200" cy="200025"/>
    <xdr:sp>
      <xdr:nvSpPr>
        <xdr:cNvPr id="32" name="TextBox 86"/>
        <xdr:cNvSpPr txBox="1">
          <a:spLocks noChangeArrowheads="1"/>
        </xdr:cNvSpPr>
      </xdr:nvSpPr>
      <xdr:spPr>
        <a:xfrm>
          <a:off x="7867650" y="426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282</xdr:row>
      <xdr:rowOff>0</xdr:rowOff>
    </xdr:from>
    <xdr:ext cx="76200" cy="200025"/>
    <xdr:sp>
      <xdr:nvSpPr>
        <xdr:cNvPr id="33" name="TextBox 92"/>
        <xdr:cNvSpPr txBox="1">
          <a:spLocks noChangeArrowheads="1"/>
        </xdr:cNvSpPr>
      </xdr:nvSpPr>
      <xdr:spPr>
        <a:xfrm>
          <a:off x="4343400" y="4694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283</xdr:row>
      <xdr:rowOff>0</xdr:rowOff>
    </xdr:from>
    <xdr:ext cx="76200" cy="200025"/>
    <xdr:sp>
      <xdr:nvSpPr>
        <xdr:cNvPr id="34" name="TextBox 94"/>
        <xdr:cNvSpPr txBox="1">
          <a:spLocks noChangeArrowheads="1"/>
        </xdr:cNvSpPr>
      </xdr:nvSpPr>
      <xdr:spPr>
        <a:xfrm>
          <a:off x="7867650" y="4714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38100</xdr:colOff>
      <xdr:row>307</xdr:row>
      <xdr:rowOff>76200</xdr:rowOff>
    </xdr:from>
    <xdr:ext cx="76200" cy="200025"/>
    <xdr:sp>
      <xdr:nvSpPr>
        <xdr:cNvPr id="35" name="TextBox 100"/>
        <xdr:cNvSpPr txBox="1">
          <a:spLocks noChangeArrowheads="1"/>
        </xdr:cNvSpPr>
      </xdr:nvSpPr>
      <xdr:spPr>
        <a:xfrm>
          <a:off x="3486150" y="5117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657225</xdr:colOff>
      <xdr:row>307</xdr:row>
      <xdr:rowOff>9525</xdr:rowOff>
    </xdr:from>
    <xdr:ext cx="2952750" cy="314325"/>
    <xdr:sp>
      <xdr:nvSpPr>
        <xdr:cNvPr id="36" name="TextBox 101"/>
        <xdr:cNvSpPr txBox="1">
          <a:spLocks noChangeArrowheads="1"/>
        </xdr:cNvSpPr>
      </xdr:nvSpPr>
      <xdr:spPr>
        <a:xfrm>
          <a:off x="2000250" y="51111150"/>
          <a:ext cx="2952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PRODUCCION TOTAL PECUARIA 2008</a:t>
          </a:r>
        </a:p>
      </xdr:txBody>
    </xdr:sp>
    <xdr:clientData/>
  </xdr:oneCellAnchor>
  <xdr:oneCellAnchor>
    <xdr:from>
      <xdr:col>8</xdr:col>
      <xdr:colOff>381000</xdr:colOff>
      <xdr:row>327</xdr:row>
      <xdr:rowOff>38100</xdr:rowOff>
    </xdr:from>
    <xdr:ext cx="76200" cy="200025"/>
    <xdr:sp>
      <xdr:nvSpPr>
        <xdr:cNvPr id="37" name="TextBox 102"/>
        <xdr:cNvSpPr txBox="1">
          <a:spLocks noChangeArrowheads="1"/>
        </xdr:cNvSpPr>
      </xdr:nvSpPr>
      <xdr:spPr>
        <a:xfrm>
          <a:off x="7096125" y="5445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304800</xdr:colOff>
      <xdr:row>306</xdr:row>
      <xdr:rowOff>0</xdr:rowOff>
    </xdr:from>
    <xdr:ext cx="95250" cy="276225"/>
    <xdr:sp>
      <xdr:nvSpPr>
        <xdr:cNvPr id="38" name="TextBox 103"/>
        <xdr:cNvSpPr txBox="1">
          <a:spLocks noChangeArrowheads="1"/>
        </xdr:cNvSpPr>
      </xdr:nvSpPr>
      <xdr:spPr>
        <a:xfrm>
          <a:off x="9372600" y="5093970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419100</xdr:colOff>
      <xdr:row>327</xdr:row>
      <xdr:rowOff>38100</xdr:rowOff>
    </xdr:from>
    <xdr:ext cx="95250" cy="276225"/>
    <xdr:sp>
      <xdr:nvSpPr>
        <xdr:cNvPr id="39" name="TextBox 104"/>
        <xdr:cNvSpPr txBox="1">
          <a:spLocks noChangeArrowheads="1"/>
        </xdr:cNvSpPr>
      </xdr:nvSpPr>
      <xdr:spPr>
        <a:xfrm>
          <a:off x="10191750" y="5445442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66675</xdr:colOff>
      <xdr:row>0</xdr:row>
      <xdr:rowOff>28575</xdr:rowOff>
    </xdr:from>
    <xdr:ext cx="4905375" cy="638175"/>
    <xdr:sp>
      <xdr:nvSpPr>
        <xdr:cNvPr id="40" name="TextBox 109"/>
        <xdr:cNvSpPr txBox="1">
          <a:spLocks noChangeArrowheads="1"/>
        </xdr:cNvSpPr>
      </xdr:nvSpPr>
      <xdr:spPr>
        <a:xfrm>
          <a:off x="12230100" y="28575"/>
          <a:ext cx="49053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MINISTERIO  DE  AGRICULTURA Y TIERRAS
U.E.M.A.T. LARA
DIVISION DE PLANIFICACION</a:t>
          </a:r>
        </a:p>
      </xdr:txBody>
    </xdr:sp>
    <xdr:clientData/>
  </xdr:oneCellAnchor>
  <xdr:oneCellAnchor>
    <xdr:from>
      <xdr:col>23</xdr:col>
      <xdr:colOff>38100</xdr:colOff>
      <xdr:row>3</xdr:row>
      <xdr:rowOff>0</xdr:rowOff>
    </xdr:from>
    <xdr:ext cx="76200" cy="200025"/>
    <xdr:sp>
      <xdr:nvSpPr>
        <xdr:cNvPr id="41" name="TextBox 110"/>
        <xdr:cNvSpPr txBox="1">
          <a:spLocks noChangeArrowheads="1"/>
        </xdr:cNvSpPr>
      </xdr:nvSpPr>
      <xdr:spPr>
        <a:xfrm>
          <a:off x="17868900" y="52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33</xdr:col>
      <xdr:colOff>381000</xdr:colOff>
      <xdr:row>4</xdr:row>
      <xdr:rowOff>38100</xdr:rowOff>
    </xdr:from>
    <xdr:ext cx="76200" cy="200025"/>
    <xdr:sp>
      <xdr:nvSpPr>
        <xdr:cNvPr id="42" name="TextBox 112"/>
        <xdr:cNvSpPr txBox="1">
          <a:spLocks noChangeArrowheads="1"/>
        </xdr:cNvSpPr>
      </xdr:nvSpPr>
      <xdr:spPr>
        <a:xfrm>
          <a:off x="24641175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29</xdr:col>
      <xdr:colOff>381000</xdr:colOff>
      <xdr:row>0</xdr:row>
      <xdr:rowOff>76200</xdr:rowOff>
    </xdr:from>
    <xdr:ext cx="95250" cy="276225"/>
    <xdr:sp>
      <xdr:nvSpPr>
        <xdr:cNvPr id="43" name="TextBox 113"/>
        <xdr:cNvSpPr txBox="1">
          <a:spLocks noChangeArrowheads="1"/>
        </xdr:cNvSpPr>
      </xdr:nvSpPr>
      <xdr:spPr>
        <a:xfrm>
          <a:off x="22202775" y="7620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76200</xdr:colOff>
      <xdr:row>53</xdr:row>
      <xdr:rowOff>38100</xdr:rowOff>
    </xdr:from>
    <xdr:ext cx="76200" cy="200025"/>
    <xdr:sp>
      <xdr:nvSpPr>
        <xdr:cNvPr id="44" name="TextBox 160"/>
        <xdr:cNvSpPr txBox="1">
          <a:spLocks noChangeArrowheads="1"/>
        </xdr:cNvSpPr>
      </xdr:nvSpPr>
      <xdr:spPr>
        <a:xfrm>
          <a:off x="11468100" y="9039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419100</xdr:colOff>
      <xdr:row>328</xdr:row>
      <xdr:rowOff>38100</xdr:rowOff>
    </xdr:from>
    <xdr:ext cx="95250" cy="276225"/>
    <xdr:sp>
      <xdr:nvSpPr>
        <xdr:cNvPr id="45" name="TextBox 161"/>
        <xdr:cNvSpPr txBox="1">
          <a:spLocks noChangeArrowheads="1"/>
        </xdr:cNvSpPr>
      </xdr:nvSpPr>
      <xdr:spPr>
        <a:xfrm>
          <a:off x="10191750" y="546163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381000</xdr:colOff>
      <xdr:row>345</xdr:row>
      <xdr:rowOff>0</xdr:rowOff>
    </xdr:from>
    <xdr:ext cx="76200" cy="200025"/>
    <xdr:sp>
      <xdr:nvSpPr>
        <xdr:cNvPr id="46" name="TextBox 168"/>
        <xdr:cNvSpPr txBox="1">
          <a:spLocks noChangeArrowheads="1"/>
        </xdr:cNvSpPr>
      </xdr:nvSpPr>
      <xdr:spPr>
        <a:xfrm>
          <a:off x="7867650" y="5733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381000</xdr:colOff>
      <xdr:row>328</xdr:row>
      <xdr:rowOff>38100</xdr:rowOff>
    </xdr:from>
    <xdr:ext cx="76200" cy="200025"/>
    <xdr:sp>
      <xdr:nvSpPr>
        <xdr:cNvPr id="47" name="TextBox 194"/>
        <xdr:cNvSpPr txBox="1">
          <a:spLocks noChangeArrowheads="1"/>
        </xdr:cNvSpPr>
      </xdr:nvSpPr>
      <xdr:spPr>
        <a:xfrm>
          <a:off x="7096125" y="5461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381000</xdr:colOff>
      <xdr:row>329</xdr:row>
      <xdr:rowOff>0</xdr:rowOff>
    </xdr:from>
    <xdr:ext cx="76200" cy="200025"/>
    <xdr:sp>
      <xdr:nvSpPr>
        <xdr:cNvPr id="48" name="TextBox 195"/>
        <xdr:cNvSpPr txBox="1">
          <a:spLocks noChangeArrowheads="1"/>
        </xdr:cNvSpPr>
      </xdr:nvSpPr>
      <xdr:spPr>
        <a:xfrm>
          <a:off x="7096125" y="5474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419100</xdr:colOff>
      <xdr:row>328</xdr:row>
      <xdr:rowOff>38100</xdr:rowOff>
    </xdr:from>
    <xdr:ext cx="95250" cy="276225"/>
    <xdr:sp>
      <xdr:nvSpPr>
        <xdr:cNvPr id="49" name="TextBox 196"/>
        <xdr:cNvSpPr txBox="1">
          <a:spLocks noChangeArrowheads="1"/>
        </xdr:cNvSpPr>
      </xdr:nvSpPr>
      <xdr:spPr>
        <a:xfrm>
          <a:off x="10191750" y="546163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419100</xdr:colOff>
      <xdr:row>329</xdr:row>
      <xdr:rowOff>0</xdr:rowOff>
    </xdr:from>
    <xdr:ext cx="95250" cy="276225"/>
    <xdr:sp>
      <xdr:nvSpPr>
        <xdr:cNvPr id="50" name="TextBox 197"/>
        <xdr:cNvSpPr txBox="1">
          <a:spLocks noChangeArrowheads="1"/>
        </xdr:cNvSpPr>
      </xdr:nvSpPr>
      <xdr:spPr>
        <a:xfrm>
          <a:off x="10191750" y="5474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419100</xdr:colOff>
      <xdr:row>329</xdr:row>
      <xdr:rowOff>0</xdr:rowOff>
    </xdr:from>
    <xdr:ext cx="95250" cy="276225"/>
    <xdr:sp>
      <xdr:nvSpPr>
        <xdr:cNvPr id="51" name="TextBox 198"/>
        <xdr:cNvSpPr txBox="1">
          <a:spLocks noChangeArrowheads="1"/>
        </xdr:cNvSpPr>
      </xdr:nvSpPr>
      <xdr:spPr>
        <a:xfrm>
          <a:off x="10191750" y="5474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419100</xdr:colOff>
      <xdr:row>329</xdr:row>
      <xdr:rowOff>0</xdr:rowOff>
    </xdr:from>
    <xdr:ext cx="95250" cy="276225"/>
    <xdr:sp>
      <xdr:nvSpPr>
        <xdr:cNvPr id="52" name="TextBox 199"/>
        <xdr:cNvSpPr txBox="1">
          <a:spLocks noChangeArrowheads="1"/>
        </xdr:cNvSpPr>
      </xdr:nvSpPr>
      <xdr:spPr>
        <a:xfrm>
          <a:off x="10191750" y="5474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419100</xdr:colOff>
      <xdr:row>13</xdr:row>
      <xdr:rowOff>38100</xdr:rowOff>
    </xdr:from>
    <xdr:ext cx="95250" cy="276225"/>
    <xdr:sp>
      <xdr:nvSpPr>
        <xdr:cNvPr id="53" name="TextBox 200"/>
        <xdr:cNvSpPr txBox="1">
          <a:spLocks noChangeArrowheads="1"/>
        </xdr:cNvSpPr>
      </xdr:nvSpPr>
      <xdr:spPr>
        <a:xfrm>
          <a:off x="20993100" y="23050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381000</xdr:colOff>
      <xdr:row>13</xdr:row>
      <xdr:rowOff>38100</xdr:rowOff>
    </xdr:from>
    <xdr:ext cx="76200" cy="200025"/>
    <xdr:sp>
      <xdr:nvSpPr>
        <xdr:cNvPr id="54" name="TextBox 201"/>
        <xdr:cNvSpPr txBox="1">
          <a:spLocks noChangeArrowheads="1"/>
        </xdr:cNvSpPr>
      </xdr:nvSpPr>
      <xdr:spPr>
        <a:xfrm>
          <a:off x="18211800" y="2305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381000</xdr:colOff>
      <xdr:row>14</xdr:row>
      <xdr:rowOff>38100</xdr:rowOff>
    </xdr:from>
    <xdr:ext cx="76200" cy="200025"/>
    <xdr:sp>
      <xdr:nvSpPr>
        <xdr:cNvPr id="55" name="TextBox 202"/>
        <xdr:cNvSpPr txBox="1">
          <a:spLocks noChangeArrowheads="1"/>
        </xdr:cNvSpPr>
      </xdr:nvSpPr>
      <xdr:spPr>
        <a:xfrm>
          <a:off x="18211800" y="246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419100</xdr:colOff>
      <xdr:row>13</xdr:row>
      <xdr:rowOff>38100</xdr:rowOff>
    </xdr:from>
    <xdr:ext cx="95250" cy="276225"/>
    <xdr:sp>
      <xdr:nvSpPr>
        <xdr:cNvPr id="56" name="TextBox 203"/>
        <xdr:cNvSpPr txBox="1">
          <a:spLocks noChangeArrowheads="1"/>
        </xdr:cNvSpPr>
      </xdr:nvSpPr>
      <xdr:spPr>
        <a:xfrm>
          <a:off x="20993100" y="23050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419100</xdr:colOff>
      <xdr:row>14</xdr:row>
      <xdr:rowOff>38100</xdr:rowOff>
    </xdr:from>
    <xdr:ext cx="95250" cy="276225"/>
    <xdr:sp>
      <xdr:nvSpPr>
        <xdr:cNvPr id="57" name="TextBox 204"/>
        <xdr:cNvSpPr txBox="1">
          <a:spLocks noChangeArrowheads="1"/>
        </xdr:cNvSpPr>
      </xdr:nvSpPr>
      <xdr:spPr>
        <a:xfrm>
          <a:off x="20993100" y="24669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419100</xdr:colOff>
      <xdr:row>14</xdr:row>
      <xdr:rowOff>38100</xdr:rowOff>
    </xdr:from>
    <xdr:ext cx="95250" cy="276225"/>
    <xdr:sp>
      <xdr:nvSpPr>
        <xdr:cNvPr id="58" name="TextBox 205"/>
        <xdr:cNvSpPr txBox="1">
          <a:spLocks noChangeArrowheads="1"/>
        </xdr:cNvSpPr>
      </xdr:nvSpPr>
      <xdr:spPr>
        <a:xfrm>
          <a:off x="20993100" y="24669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419100</xdr:colOff>
      <xdr:row>15</xdr:row>
      <xdr:rowOff>38100</xdr:rowOff>
    </xdr:from>
    <xdr:ext cx="95250" cy="276225"/>
    <xdr:sp>
      <xdr:nvSpPr>
        <xdr:cNvPr id="59" name="TextBox 206"/>
        <xdr:cNvSpPr txBox="1">
          <a:spLocks noChangeArrowheads="1"/>
        </xdr:cNvSpPr>
      </xdr:nvSpPr>
      <xdr:spPr>
        <a:xfrm>
          <a:off x="20993100" y="262890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381000</xdr:colOff>
      <xdr:row>14</xdr:row>
      <xdr:rowOff>38100</xdr:rowOff>
    </xdr:from>
    <xdr:ext cx="76200" cy="200025"/>
    <xdr:sp>
      <xdr:nvSpPr>
        <xdr:cNvPr id="60" name="TextBox 207"/>
        <xdr:cNvSpPr txBox="1">
          <a:spLocks noChangeArrowheads="1"/>
        </xdr:cNvSpPr>
      </xdr:nvSpPr>
      <xdr:spPr>
        <a:xfrm>
          <a:off x="18211800" y="246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381000</xdr:colOff>
      <xdr:row>15</xdr:row>
      <xdr:rowOff>38100</xdr:rowOff>
    </xdr:from>
    <xdr:ext cx="76200" cy="200025"/>
    <xdr:sp>
      <xdr:nvSpPr>
        <xdr:cNvPr id="61" name="TextBox 208"/>
        <xdr:cNvSpPr txBox="1">
          <a:spLocks noChangeArrowheads="1"/>
        </xdr:cNvSpPr>
      </xdr:nvSpPr>
      <xdr:spPr>
        <a:xfrm>
          <a:off x="18211800" y="262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419100</xdr:colOff>
      <xdr:row>14</xdr:row>
      <xdr:rowOff>38100</xdr:rowOff>
    </xdr:from>
    <xdr:ext cx="95250" cy="276225"/>
    <xdr:sp>
      <xdr:nvSpPr>
        <xdr:cNvPr id="62" name="TextBox 209"/>
        <xdr:cNvSpPr txBox="1">
          <a:spLocks noChangeArrowheads="1"/>
        </xdr:cNvSpPr>
      </xdr:nvSpPr>
      <xdr:spPr>
        <a:xfrm>
          <a:off x="20993100" y="24669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419100</xdr:colOff>
      <xdr:row>14</xdr:row>
      <xdr:rowOff>38100</xdr:rowOff>
    </xdr:from>
    <xdr:ext cx="95250" cy="276225"/>
    <xdr:sp>
      <xdr:nvSpPr>
        <xdr:cNvPr id="63" name="TextBox 210"/>
        <xdr:cNvSpPr txBox="1">
          <a:spLocks noChangeArrowheads="1"/>
        </xdr:cNvSpPr>
      </xdr:nvSpPr>
      <xdr:spPr>
        <a:xfrm>
          <a:off x="20993100" y="24669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419100</xdr:colOff>
      <xdr:row>15</xdr:row>
      <xdr:rowOff>38100</xdr:rowOff>
    </xdr:from>
    <xdr:ext cx="95250" cy="276225"/>
    <xdr:sp>
      <xdr:nvSpPr>
        <xdr:cNvPr id="64" name="TextBox 211"/>
        <xdr:cNvSpPr txBox="1">
          <a:spLocks noChangeArrowheads="1"/>
        </xdr:cNvSpPr>
      </xdr:nvSpPr>
      <xdr:spPr>
        <a:xfrm>
          <a:off x="20993100" y="262890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419100</xdr:colOff>
      <xdr:row>15</xdr:row>
      <xdr:rowOff>38100</xdr:rowOff>
    </xdr:from>
    <xdr:ext cx="95250" cy="276225"/>
    <xdr:sp>
      <xdr:nvSpPr>
        <xdr:cNvPr id="65" name="TextBox 212"/>
        <xdr:cNvSpPr txBox="1">
          <a:spLocks noChangeArrowheads="1"/>
        </xdr:cNvSpPr>
      </xdr:nvSpPr>
      <xdr:spPr>
        <a:xfrm>
          <a:off x="20993100" y="262890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419100</xdr:colOff>
      <xdr:row>14</xdr:row>
      <xdr:rowOff>38100</xdr:rowOff>
    </xdr:from>
    <xdr:ext cx="95250" cy="276225"/>
    <xdr:sp>
      <xdr:nvSpPr>
        <xdr:cNvPr id="66" name="TextBox 213"/>
        <xdr:cNvSpPr txBox="1">
          <a:spLocks noChangeArrowheads="1"/>
        </xdr:cNvSpPr>
      </xdr:nvSpPr>
      <xdr:spPr>
        <a:xfrm>
          <a:off x="20993100" y="24669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419100</xdr:colOff>
      <xdr:row>14</xdr:row>
      <xdr:rowOff>38100</xdr:rowOff>
    </xdr:from>
    <xdr:ext cx="95250" cy="276225"/>
    <xdr:sp>
      <xdr:nvSpPr>
        <xdr:cNvPr id="67" name="TextBox 214"/>
        <xdr:cNvSpPr txBox="1">
          <a:spLocks noChangeArrowheads="1"/>
        </xdr:cNvSpPr>
      </xdr:nvSpPr>
      <xdr:spPr>
        <a:xfrm>
          <a:off x="20993100" y="24669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419100</xdr:colOff>
      <xdr:row>15</xdr:row>
      <xdr:rowOff>38100</xdr:rowOff>
    </xdr:from>
    <xdr:ext cx="95250" cy="276225"/>
    <xdr:sp>
      <xdr:nvSpPr>
        <xdr:cNvPr id="68" name="TextBox 215"/>
        <xdr:cNvSpPr txBox="1">
          <a:spLocks noChangeArrowheads="1"/>
        </xdr:cNvSpPr>
      </xdr:nvSpPr>
      <xdr:spPr>
        <a:xfrm>
          <a:off x="20993100" y="262890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419100</xdr:colOff>
      <xdr:row>15</xdr:row>
      <xdr:rowOff>38100</xdr:rowOff>
    </xdr:from>
    <xdr:ext cx="95250" cy="276225"/>
    <xdr:sp>
      <xdr:nvSpPr>
        <xdr:cNvPr id="69" name="TextBox 216"/>
        <xdr:cNvSpPr txBox="1">
          <a:spLocks noChangeArrowheads="1"/>
        </xdr:cNvSpPr>
      </xdr:nvSpPr>
      <xdr:spPr>
        <a:xfrm>
          <a:off x="20993100" y="262890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419100</xdr:colOff>
      <xdr:row>15</xdr:row>
      <xdr:rowOff>38100</xdr:rowOff>
    </xdr:from>
    <xdr:ext cx="95250" cy="276225"/>
    <xdr:sp>
      <xdr:nvSpPr>
        <xdr:cNvPr id="70" name="TextBox 217"/>
        <xdr:cNvSpPr txBox="1">
          <a:spLocks noChangeArrowheads="1"/>
        </xdr:cNvSpPr>
      </xdr:nvSpPr>
      <xdr:spPr>
        <a:xfrm>
          <a:off x="20993100" y="262890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419100</xdr:colOff>
      <xdr:row>15</xdr:row>
      <xdr:rowOff>38100</xdr:rowOff>
    </xdr:from>
    <xdr:ext cx="95250" cy="276225"/>
    <xdr:sp>
      <xdr:nvSpPr>
        <xdr:cNvPr id="71" name="TextBox 218"/>
        <xdr:cNvSpPr txBox="1">
          <a:spLocks noChangeArrowheads="1"/>
        </xdr:cNvSpPr>
      </xdr:nvSpPr>
      <xdr:spPr>
        <a:xfrm>
          <a:off x="20993100" y="262890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419100</xdr:colOff>
      <xdr:row>14</xdr:row>
      <xdr:rowOff>38100</xdr:rowOff>
    </xdr:from>
    <xdr:ext cx="95250" cy="276225"/>
    <xdr:sp>
      <xdr:nvSpPr>
        <xdr:cNvPr id="72" name="TextBox 219"/>
        <xdr:cNvSpPr txBox="1">
          <a:spLocks noChangeArrowheads="1"/>
        </xdr:cNvSpPr>
      </xdr:nvSpPr>
      <xdr:spPr>
        <a:xfrm>
          <a:off x="20993100" y="24669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419100</xdr:colOff>
      <xdr:row>14</xdr:row>
      <xdr:rowOff>38100</xdr:rowOff>
    </xdr:from>
    <xdr:ext cx="95250" cy="276225"/>
    <xdr:sp>
      <xdr:nvSpPr>
        <xdr:cNvPr id="73" name="TextBox 220"/>
        <xdr:cNvSpPr txBox="1">
          <a:spLocks noChangeArrowheads="1"/>
        </xdr:cNvSpPr>
      </xdr:nvSpPr>
      <xdr:spPr>
        <a:xfrm>
          <a:off x="20993100" y="24669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419100</xdr:colOff>
      <xdr:row>15</xdr:row>
      <xdr:rowOff>38100</xdr:rowOff>
    </xdr:from>
    <xdr:ext cx="95250" cy="276225"/>
    <xdr:sp>
      <xdr:nvSpPr>
        <xdr:cNvPr id="74" name="TextBox 221"/>
        <xdr:cNvSpPr txBox="1">
          <a:spLocks noChangeArrowheads="1"/>
        </xdr:cNvSpPr>
      </xdr:nvSpPr>
      <xdr:spPr>
        <a:xfrm>
          <a:off x="20993100" y="262890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419100</xdr:colOff>
      <xdr:row>15</xdr:row>
      <xdr:rowOff>38100</xdr:rowOff>
    </xdr:from>
    <xdr:ext cx="95250" cy="276225"/>
    <xdr:sp>
      <xdr:nvSpPr>
        <xdr:cNvPr id="75" name="TextBox 222"/>
        <xdr:cNvSpPr txBox="1">
          <a:spLocks noChangeArrowheads="1"/>
        </xdr:cNvSpPr>
      </xdr:nvSpPr>
      <xdr:spPr>
        <a:xfrm>
          <a:off x="20993100" y="262890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180975</xdr:colOff>
      <xdr:row>31</xdr:row>
      <xdr:rowOff>0</xdr:rowOff>
    </xdr:from>
    <xdr:ext cx="76200" cy="200025"/>
    <xdr:sp>
      <xdr:nvSpPr>
        <xdr:cNvPr id="76" name="TextBox 227"/>
        <xdr:cNvSpPr txBox="1">
          <a:spLocks noChangeArrowheads="1"/>
        </xdr:cNvSpPr>
      </xdr:nvSpPr>
      <xdr:spPr>
        <a:xfrm>
          <a:off x="13373100" y="5267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152400</xdr:colOff>
      <xdr:row>56</xdr:row>
      <xdr:rowOff>0</xdr:rowOff>
    </xdr:from>
    <xdr:ext cx="171450" cy="209550"/>
    <xdr:sp>
      <xdr:nvSpPr>
        <xdr:cNvPr id="77" name="TextBox 228"/>
        <xdr:cNvSpPr txBox="1">
          <a:spLocks noChangeArrowheads="1"/>
        </xdr:cNvSpPr>
      </xdr:nvSpPr>
      <xdr:spPr>
        <a:xfrm>
          <a:off x="10791825" y="948690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523875</xdr:colOff>
      <xdr:row>81</xdr:row>
      <xdr:rowOff>0</xdr:rowOff>
    </xdr:from>
    <xdr:ext cx="1295400" cy="295275"/>
    <xdr:sp>
      <xdr:nvSpPr>
        <xdr:cNvPr id="78" name="TextBox 230"/>
        <xdr:cNvSpPr txBox="1">
          <a:spLocks noChangeArrowheads="1"/>
        </xdr:cNvSpPr>
      </xdr:nvSpPr>
      <xdr:spPr>
        <a:xfrm>
          <a:off x="8772525" y="13630275"/>
          <a:ext cx="1295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79</xdr:row>
      <xdr:rowOff>38100</xdr:rowOff>
    </xdr:from>
    <xdr:ext cx="76200" cy="200025"/>
    <xdr:sp>
      <xdr:nvSpPr>
        <xdr:cNvPr id="79" name="TextBox 232"/>
        <xdr:cNvSpPr txBox="1">
          <a:spLocks noChangeArrowheads="1"/>
        </xdr:cNvSpPr>
      </xdr:nvSpPr>
      <xdr:spPr>
        <a:xfrm>
          <a:off x="7620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571500</xdr:colOff>
      <xdr:row>107</xdr:row>
      <xdr:rowOff>0</xdr:rowOff>
    </xdr:from>
    <xdr:ext cx="95250" cy="276225"/>
    <xdr:sp>
      <xdr:nvSpPr>
        <xdr:cNvPr id="80" name="TextBox 233"/>
        <xdr:cNvSpPr txBox="1">
          <a:spLocks noChangeArrowheads="1"/>
        </xdr:cNvSpPr>
      </xdr:nvSpPr>
      <xdr:spPr>
        <a:xfrm>
          <a:off x="4876800" y="179736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123825</xdr:colOff>
      <xdr:row>107</xdr:row>
      <xdr:rowOff>0</xdr:rowOff>
    </xdr:from>
    <xdr:ext cx="76200" cy="847725"/>
    <xdr:sp>
      <xdr:nvSpPr>
        <xdr:cNvPr id="81" name="TextBox 234"/>
        <xdr:cNvSpPr txBox="1">
          <a:spLocks noChangeArrowheads="1"/>
        </xdr:cNvSpPr>
      </xdr:nvSpPr>
      <xdr:spPr>
        <a:xfrm>
          <a:off x="4429125" y="1797367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66675</xdr:colOff>
      <xdr:row>107</xdr:row>
      <xdr:rowOff>0</xdr:rowOff>
    </xdr:from>
    <xdr:ext cx="76200" cy="200025"/>
    <xdr:sp>
      <xdr:nvSpPr>
        <xdr:cNvPr id="82" name="TextBox 235"/>
        <xdr:cNvSpPr txBox="1">
          <a:spLocks noChangeArrowheads="1"/>
        </xdr:cNvSpPr>
      </xdr:nvSpPr>
      <xdr:spPr>
        <a:xfrm>
          <a:off x="2085975" y="17973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952500</xdr:colOff>
      <xdr:row>107</xdr:row>
      <xdr:rowOff>0</xdr:rowOff>
    </xdr:from>
    <xdr:ext cx="76200" cy="200025"/>
    <xdr:sp>
      <xdr:nvSpPr>
        <xdr:cNvPr id="83" name="TextBox 236"/>
        <xdr:cNvSpPr txBox="1">
          <a:spLocks noChangeArrowheads="1"/>
        </xdr:cNvSpPr>
      </xdr:nvSpPr>
      <xdr:spPr>
        <a:xfrm>
          <a:off x="952500" y="17973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179</xdr:row>
      <xdr:rowOff>76200</xdr:rowOff>
    </xdr:from>
    <xdr:ext cx="76200" cy="200025"/>
    <xdr:sp>
      <xdr:nvSpPr>
        <xdr:cNvPr id="84" name="TextBox 237"/>
        <xdr:cNvSpPr txBox="1">
          <a:spLocks noChangeArrowheads="1"/>
        </xdr:cNvSpPr>
      </xdr:nvSpPr>
      <xdr:spPr>
        <a:xfrm>
          <a:off x="4343400" y="2996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203</xdr:row>
      <xdr:rowOff>0</xdr:rowOff>
    </xdr:from>
    <xdr:ext cx="76200" cy="200025"/>
    <xdr:sp>
      <xdr:nvSpPr>
        <xdr:cNvPr id="85" name="TextBox 238"/>
        <xdr:cNvSpPr txBox="1">
          <a:spLocks noChangeArrowheads="1"/>
        </xdr:cNvSpPr>
      </xdr:nvSpPr>
      <xdr:spPr>
        <a:xfrm>
          <a:off x="4343400" y="3387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204</xdr:row>
      <xdr:rowOff>76200</xdr:rowOff>
    </xdr:from>
    <xdr:ext cx="76200" cy="200025"/>
    <xdr:sp>
      <xdr:nvSpPr>
        <xdr:cNvPr id="86" name="TextBox 239"/>
        <xdr:cNvSpPr txBox="1">
          <a:spLocks noChangeArrowheads="1"/>
        </xdr:cNvSpPr>
      </xdr:nvSpPr>
      <xdr:spPr>
        <a:xfrm>
          <a:off x="4343400" y="3410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228</xdr:row>
      <xdr:rowOff>0</xdr:rowOff>
    </xdr:from>
    <xdr:ext cx="76200" cy="200025"/>
    <xdr:sp>
      <xdr:nvSpPr>
        <xdr:cNvPr id="87" name="TextBox 240"/>
        <xdr:cNvSpPr txBox="1">
          <a:spLocks noChangeArrowheads="1"/>
        </xdr:cNvSpPr>
      </xdr:nvSpPr>
      <xdr:spPr>
        <a:xfrm>
          <a:off x="4343400" y="38014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229</xdr:row>
      <xdr:rowOff>76200</xdr:rowOff>
    </xdr:from>
    <xdr:ext cx="76200" cy="200025"/>
    <xdr:sp>
      <xdr:nvSpPr>
        <xdr:cNvPr id="88" name="TextBox 241"/>
        <xdr:cNvSpPr txBox="1">
          <a:spLocks noChangeArrowheads="1"/>
        </xdr:cNvSpPr>
      </xdr:nvSpPr>
      <xdr:spPr>
        <a:xfrm>
          <a:off x="4343400" y="3825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253</xdr:row>
      <xdr:rowOff>0</xdr:rowOff>
    </xdr:from>
    <xdr:ext cx="76200" cy="200025"/>
    <xdr:sp>
      <xdr:nvSpPr>
        <xdr:cNvPr id="89" name="TextBox 242"/>
        <xdr:cNvSpPr txBox="1">
          <a:spLocks noChangeArrowheads="1"/>
        </xdr:cNvSpPr>
      </xdr:nvSpPr>
      <xdr:spPr>
        <a:xfrm>
          <a:off x="4343400" y="4215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254</xdr:row>
      <xdr:rowOff>76200</xdr:rowOff>
    </xdr:from>
    <xdr:ext cx="76200" cy="200025"/>
    <xdr:sp>
      <xdr:nvSpPr>
        <xdr:cNvPr id="90" name="TextBox 243"/>
        <xdr:cNvSpPr txBox="1">
          <a:spLocks noChangeArrowheads="1"/>
        </xdr:cNvSpPr>
      </xdr:nvSpPr>
      <xdr:spPr>
        <a:xfrm>
          <a:off x="4343400" y="4239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278</xdr:row>
      <xdr:rowOff>0</xdr:rowOff>
    </xdr:from>
    <xdr:ext cx="76200" cy="200025"/>
    <xdr:sp>
      <xdr:nvSpPr>
        <xdr:cNvPr id="91" name="TextBox 244"/>
        <xdr:cNvSpPr txBox="1">
          <a:spLocks noChangeArrowheads="1"/>
        </xdr:cNvSpPr>
      </xdr:nvSpPr>
      <xdr:spPr>
        <a:xfrm>
          <a:off x="4343400" y="4630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279</xdr:row>
      <xdr:rowOff>76200</xdr:rowOff>
    </xdr:from>
    <xdr:ext cx="76200" cy="200025"/>
    <xdr:sp>
      <xdr:nvSpPr>
        <xdr:cNvPr id="92" name="TextBox 245"/>
        <xdr:cNvSpPr txBox="1">
          <a:spLocks noChangeArrowheads="1"/>
        </xdr:cNvSpPr>
      </xdr:nvSpPr>
      <xdr:spPr>
        <a:xfrm>
          <a:off x="4343400" y="4653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304</xdr:row>
      <xdr:rowOff>0</xdr:rowOff>
    </xdr:from>
    <xdr:ext cx="76200" cy="200025"/>
    <xdr:sp>
      <xdr:nvSpPr>
        <xdr:cNvPr id="93" name="TextBox 246"/>
        <xdr:cNvSpPr txBox="1">
          <a:spLocks noChangeArrowheads="1"/>
        </xdr:cNvSpPr>
      </xdr:nvSpPr>
      <xdr:spPr>
        <a:xfrm>
          <a:off x="4343400" y="5061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305</xdr:row>
      <xdr:rowOff>76200</xdr:rowOff>
    </xdr:from>
    <xdr:ext cx="76200" cy="200025"/>
    <xdr:sp>
      <xdr:nvSpPr>
        <xdr:cNvPr id="94" name="TextBox 247"/>
        <xdr:cNvSpPr txBox="1">
          <a:spLocks noChangeArrowheads="1"/>
        </xdr:cNvSpPr>
      </xdr:nvSpPr>
      <xdr:spPr>
        <a:xfrm>
          <a:off x="4343400" y="5085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330</xdr:row>
      <xdr:rowOff>0</xdr:rowOff>
    </xdr:from>
    <xdr:ext cx="76200" cy="200025"/>
    <xdr:sp>
      <xdr:nvSpPr>
        <xdr:cNvPr id="95" name="TextBox 248"/>
        <xdr:cNvSpPr txBox="1">
          <a:spLocks noChangeArrowheads="1"/>
        </xdr:cNvSpPr>
      </xdr:nvSpPr>
      <xdr:spPr>
        <a:xfrm>
          <a:off x="4343400" y="5490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331</xdr:row>
      <xdr:rowOff>76200</xdr:rowOff>
    </xdr:from>
    <xdr:ext cx="76200" cy="200025"/>
    <xdr:sp>
      <xdr:nvSpPr>
        <xdr:cNvPr id="96" name="TextBox 249"/>
        <xdr:cNvSpPr txBox="1">
          <a:spLocks noChangeArrowheads="1"/>
        </xdr:cNvSpPr>
      </xdr:nvSpPr>
      <xdr:spPr>
        <a:xfrm>
          <a:off x="4343400" y="5514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76200</xdr:colOff>
      <xdr:row>27</xdr:row>
      <xdr:rowOff>38100</xdr:rowOff>
    </xdr:from>
    <xdr:ext cx="76200" cy="200025"/>
    <xdr:sp>
      <xdr:nvSpPr>
        <xdr:cNvPr id="97" name="TextBox 250"/>
        <xdr:cNvSpPr txBox="1">
          <a:spLocks noChangeArrowheads="1"/>
        </xdr:cNvSpPr>
      </xdr:nvSpPr>
      <xdr:spPr>
        <a:xfrm>
          <a:off x="12239625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76200</xdr:colOff>
      <xdr:row>348</xdr:row>
      <xdr:rowOff>38100</xdr:rowOff>
    </xdr:from>
    <xdr:ext cx="76200" cy="200025"/>
    <xdr:sp>
      <xdr:nvSpPr>
        <xdr:cNvPr id="98" name="TextBox 251"/>
        <xdr:cNvSpPr txBox="1">
          <a:spLocks noChangeArrowheads="1"/>
        </xdr:cNvSpPr>
      </xdr:nvSpPr>
      <xdr:spPr>
        <a:xfrm>
          <a:off x="9848850" y="578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2"/>
  <sheetViews>
    <sheetView tabSelected="1" zoomScaleSheetLayoutView="75" workbookViewId="0" topLeftCell="A298">
      <selection activeCell="A187" sqref="A187"/>
    </sheetView>
  </sheetViews>
  <sheetFormatPr defaultColWidth="11.421875" defaultRowHeight="12.75"/>
  <cols>
    <col min="1" max="1" width="20.140625" style="0" customWidth="1"/>
    <col min="2" max="2" width="10.140625" style="0" customWidth="1"/>
    <col min="3" max="3" width="11.28125" style="0" customWidth="1"/>
    <col min="4" max="4" width="10.140625" style="0" customWidth="1"/>
    <col min="5" max="5" width="12.8515625" style="0" customWidth="1"/>
    <col min="6" max="6" width="13.57421875" style="0" customWidth="1"/>
    <col min="7" max="7" width="11.421875" style="0" customWidth="1"/>
    <col min="8" max="8" width="11.140625" style="0" customWidth="1"/>
    <col min="9" max="9" width="11.57421875" style="0" customWidth="1"/>
    <col min="10" max="10" width="11.421875" style="0" customWidth="1"/>
    <col min="11" max="11" width="12.28125" style="0" customWidth="1"/>
    <col min="12" max="12" width="10.57421875" style="0" customWidth="1"/>
    <col min="13" max="13" width="13.00390625" style="0" customWidth="1"/>
    <col min="14" max="14" width="11.28125" style="0" customWidth="1"/>
    <col min="15" max="15" width="11.57421875" style="0" customWidth="1"/>
    <col min="16" max="16" width="15.421875" style="0" customWidth="1"/>
    <col min="17" max="17" width="12.8515625" style="0" customWidth="1"/>
    <col min="18" max="18" width="9.28125" style="0" customWidth="1"/>
    <col min="19" max="19" width="10.8515625" style="0" customWidth="1"/>
    <col min="20" max="20" width="9.28125" style="0" customWidth="1"/>
    <col min="21" max="21" width="9.00390625" style="0" customWidth="1"/>
    <col min="22" max="22" width="10.140625" style="0" customWidth="1"/>
    <col min="23" max="23" width="8.140625" style="0" customWidth="1"/>
    <col min="24" max="24" width="9.57421875" style="0" customWidth="1"/>
    <col min="25" max="25" width="10.57421875" style="0" customWidth="1"/>
    <col min="26" max="26" width="11.00390625" style="0" customWidth="1"/>
    <col min="27" max="27" width="10.00390625" style="0" customWidth="1"/>
    <col min="28" max="28" width="9.140625" style="0" customWidth="1"/>
    <col min="29" max="29" width="9.57421875" style="0" customWidth="1"/>
    <col min="30" max="30" width="10.140625" style="0" customWidth="1"/>
    <col min="31" max="31" width="9.140625" style="0" customWidth="1"/>
    <col min="32" max="32" width="9.00390625" style="0" customWidth="1"/>
    <col min="33" max="33" width="8.28125" style="0" customWidth="1"/>
    <col min="34" max="34" width="9.00390625" style="0" customWidth="1"/>
    <col min="35" max="35" width="13.00390625" style="0" customWidth="1"/>
    <col min="36" max="36" width="13.140625" style="0" customWidth="1"/>
    <col min="37" max="37" width="9.57421875" style="0" customWidth="1"/>
  </cols>
  <sheetData>
    <row r="1" spans="1:21" ht="15.75">
      <c r="A1" s="1"/>
      <c r="U1" s="1"/>
    </row>
    <row r="3" ht="12.75">
      <c r="H3" s="16"/>
    </row>
    <row r="4" spans="4:28" ht="15.75">
      <c r="D4" s="81"/>
      <c r="E4" s="81"/>
      <c r="F4" s="81"/>
      <c r="G4" s="81"/>
      <c r="V4" s="86" t="s">
        <v>88</v>
      </c>
      <c r="W4" s="98"/>
      <c r="X4" s="98"/>
      <c r="Y4" s="98"/>
      <c r="Z4" s="98"/>
      <c r="AA4" s="98"/>
      <c r="AB4" s="98"/>
    </row>
    <row r="5" spans="1:4" ht="16.5" thickBot="1">
      <c r="A5" s="86" t="s">
        <v>89</v>
      </c>
      <c r="D5" t="s">
        <v>59</v>
      </c>
    </row>
    <row r="6" spans="1:36" ht="15.75">
      <c r="A6" s="8" t="s">
        <v>0</v>
      </c>
      <c r="B6" s="24" t="s">
        <v>1</v>
      </c>
      <c r="C6" s="24" t="s">
        <v>2</v>
      </c>
      <c r="D6" s="24" t="s">
        <v>3</v>
      </c>
      <c r="E6" s="24" t="s">
        <v>22</v>
      </c>
      <c r="F6" s="24" t="s">
        <v>23</v>
      </c>
      <c r="G6" s="24" t="s">
        <v>4</v>
      </c>
      <c r="H6" s="24" t="s">
        <v>5</v>
      </c>
      <c r="I6" s="24" t="s">
        <v>6</v>
      </c>
      <c r="J6" s="24" t="s">
        <v>7</v>
      </c>
      <c r="K6" s="24" t="s">
        <v>8</v>
      </c>
      <c r="L6" s="26" t="s">
        <v>9</v>
      </c>
      <c r="M6" s="22" t="s">
        <v>41</v>
      </c>
      <c r="P6" s="99" t="s">
        <v>0</v>
      </c>
      <c r="Q6" s="100" t="s">
        <v>1</v>
      </c>
      <c r="R6" s="101" t="s">
        <v>25</v>
      </c>
      <c r="S6" s="100" t="s">
        <v>2</v>
      </c>
      <c r="T6" s="101" t="s">
        <v>25</v>
      </c>
      <c r="U6" s="100" t="s">
        <v>3</v>
      </c>
      <c r="V6" s="101" t="s">
        <v>25</v>
      </c>
      <c r="W6" s="100" t="s">
        <v>22</v>
      </c>
      <c r="X6" s="101" t="s">
        <v>25</v>
      </c>
      <c r="Y6" s="100" t="s">
        <v>23</v>
      </c>
      <c r="Z6" s="101" t="s">
        <v>25</v>
      </c>
      <c r="AA6" s="100" t="s">
        <v>4</v>
      </c>
      <c r="AB6" s="101" t="s">
        <v>25</v>
      </c>
      <c r="AC6" s="100" t="s">
        <v>5</v>
      </c>
      <c r="AD6" s="101" t="s">
        <v>25</v>
      </c>
      <c r="AE6" s="100" t="s">
        <v>6</v>
      </c>
      <c r="AF6" s="101" t="s">
        <v>25</v>
      </c>
      <c r="AG6" s="100" t="s">
        <v>7</v>
      </c>
      <c r="AH6" s="101" t="s">
        <v>25</v>
      </c>
      <c r="AI6" s="100" t="s">
        <v>8</v>
      </c>
      <c r="AJ6" s="3"/>
    </row>
    <row r="7" spans="1:36" ht="12.75" customHeight="1">
      <c r="A7" s="9" t="s">
        <v>42</v>
      </c>
      <c r="B7" s="11">
        <v>1666</v>
      </c>
      <c r="C7" s="11">
        <v>380</v>
      </c>
      <c r="D7" s="11">
        <f>245+7+38+40+175+7+84</f>
        <v>596</v>
      </c>
      <c r="E7" s="11"/>
      <c r="F7" s="11">
        <v>1862</v>
      </c>
      <c r="G7" s="11">
        <v>566</v>
      </c>
      <c r="H7" s="11">
        <v>2105</v>
      </c>
      <c r="I7" s="11">
        <f>56+33+2+17+52+17+17</f>
        <v>194</v>
      </c>
      <c r="J7" s="11">
        <v>138</v>
      </c>
      <c r="K7" s="11">
        <f>SUM(B7:J7)</f>
        <v>7507</v>
      </c>
      <c r="L7" s="10" t="s">
        <v>70</v>
      </c>
      <c r="M7" s="23"/>
      <c r="P7" s="51" t="s">
        <v>50</v>
      </c>
      <c r="Q7" s="67">
        <f>SUM(B7+B34++B60+B85+B110+B135+B160+B185+B210+B235+B260+B286)</f>
        <v>37114</v>
      </c>
      <c r="R7" s="52" t="e">
        <f>Q7*100/AI7</f>
        <v>#VALUE!</v>
      </c>
      <c r="S7" s="51">
        <f>SUM(C7+C34+C60+C85+C110+C135+C160+C185+C210+C235+C260+C286)</f>
        <v>6003</v>
      </c>
      <c r="T7" s="52" t="e">
        <f>S7*100/AI7</f>
        <v>#VALUE!</v>
      </c>
      <c r="U7" s="51">
        <f>SUM(D7+D34+D60+D85+D110+D135+D160+D185+D210+D235+D260+D286)</f>
        <v>3861</v>
      </c>
      <c r="V7" s="52" t="e">
        <f>U7*100/AI7</f>
        <v>#VALUE!</v>
      </c>
      <c r="W7" s="51">
        <f>SUM(E7+E34+E60+E85+E110+E135+E160+E185+E210+E235+E260+E286)</f>
        <v>275</v>
      </c>
      <c r="X7" s="51" t="e">
        <f aca="true" t="shared" si="0" ref="X7:X14">W7*100/AI7</f>
        <v>#VALUE!</v>
      </c>
      <c r="Y7" s="51" t="e">
        <f>SUM(F7+F34+F60+F85+F109+F134+F159+F184+F209+F235+F260+F286)</f>
        <v>#VALUE!</v>
      </c>
      <c r="Z7" s="52" t="e">
        <f aca="true" t="shared" si="1" ref="Z7:Z25">Y7*100/AI7</f>
        <v>#VALUE!</v>
      </c>
      <c r="AA7" s="51">
        <f>SUM(G7+G34+G60+G85+G110+G135+G160+G185+G210+G235+G260+G286)</f>
        <v>4890</v>
      </c>
      <c r="AB7" s="52" t="e">
        <f aca="true" t="shared" si="2" ref="AB7:AB16">AA7*100/AI7</f>
        <v>#VALUE!</v>
      </c>
      <c r="AC7" s="51">
        <f>SUM(H7+H34+H60+H85+H110+H135+H160+H185+H210+H235+H260+H286)</f>
        <v>14164</v>
      </c>
      <c r="AD7" s="52" t="e">
        <f>AC7*100/AI7</f>
        <v>#VALUE!</v>
      </c>
      <c r="AE7" s="51">
        <f>SUM(I7+I34+I60+I85+I110+I135+I160+I185+I210+I235+I260+I286)</f>
        <v>2125</v>
      </c>
      <c r="AF7" s="52" t="e">
        <f>AE7*100/AI7</f>
        <v>#VALUE!</v>
      </c>
      <c r="AG7" s="51">
        <f>SUM(J7+J34+J60+J85+J110+J135+J160+J185+J210+J235+J260+J286)</f>
        <v>1158</v>
      </c>
      <c r="AH7" s="52" t="e">
        <f aca="true" t="shared" si="3" ref="AH7:AH12">AG7*100/AI7</f>
        <v>#VALUE!</v>
      </c>
      <c r="AI7" s="53" t="e">
        <f aca="true" t="shared" si="4" ref="AI7:AI15">+Q7+S7+U7+W7+Y7+AA7+AC7+AE7+AG7</f>
        <v>#VALUE!</v>
      </c>
      <c r="AJ7" s="4"/>
    </row>
    <row r="8" spans="1:36" ht="12.75">
      <c r="A8" s="9" t="s">
        <v>43</v>
      </c>
      <c r="B8" s="11">
        <v>987</v>
      </c>
      <c r="C8" s="11">
        <v>300</v>
      </c>
      <c r="D8" s="11">
        <f>56+5+163+3+19</f>
        <v>246</v>
      </c>
      <c r="E8" s="11"/>
      <c r="F8" s="11">
        <v>562</v>
      </c>
      <c r="G8" s="11">
        <v>170</v>
      </c>
      <c r="H8" s="11">
        <v>1798</v>
      </c>
      <c r="I8" s="11">
        <f>8+29+5</f>
        <v>42</v>
      </c>
      <c r="J8" s="11">
        <v>96</v>
      </c>
      <c r="K8" s="11">
        <f>SUM(B8:J8)</f>
        <v>4201</v>
      </c>
      <c r="L8" s="10" t="s">
        <v>70</v>
      </c>
      <c r="M8" s="23">
        <f>+K8*205</f>
        <v>861205</v>
      </c>
      <c r="P8" s="51" t="s">
        <v>51</v>
      </c>
      <c r="Q8" s="67">
        <f>SUM(B8+B35++B61+B86+B111+B136+B161+B186+B211+B236+B261+B287)</f>
        <v>13527</v>
      </c>
      <c r="R8" s="52">
        <f>Q8*100/AI8</f>
        <v>34.88498040024758</v>
      </c>
      <c r="S8" s="51">
        <f>SUM(C8+C35+C61+C86+C111+C136+C161+C186+C211+C236+C261+C287)</f>
        <v>4818</v>
      </c>
      <c r="T8" s="52">
        <f>S8*100/AI8</f>
        <v>12.425211471012998</v>
      </c>
      <c r="U8" s="51">
        <f>SUM(D8+D35+D61+D86+D111+D136+D161+D186+D211+D236+D261+D287)</f>
        <v>1919</v>
      </c>
      <c r="V8" s="52">
        <f>U8*100/AI8</f>
        <v>4.948937487105426</v>
      </c>
      <c r="W8" s="51">
        <f>SUM(E8+E35+E61+E86+E111+E136+E161+E186+E211+E236+E261+E287)</f>
        <v>825</v>
      </c>
      <c r="X8" s="51">
        <f t="shared" si="0"/>
        <v>2.1276047039405817</v>
      </c>
      <c r="Y8" s="51">
        <f>SUM(F8+F35+F61+F86+F110+F135+F160+F185+F210+F236+F261+F287)</f>
        <v>6592</v>
      </c>
      <c r="Z8" s="52">
        <f t="shared" si="1"/>
        <v>17.000206313183412</v>
      </c>
      <c r="AA8" s="51">
        <f>SUM(G8+G35+G61+G86+G111+G136+G161+G186+G211+G236+G261+G287)</f>
        <v>1810</v>
      </c>
      <c r="AB8" s="52">
        <f t="shared" si="2"/>
        <v>4.6678357747060035</v>
      </c>
      <c r="AC8" s="51">
        <f>SUM(H8+H35+H61+H86+H111+H136+H161+H186+H211+H236+H261+H287)</f>
        <v>7715</v>
      </c>
      <c r="AD8" s="52">
        <f>AC8*100/AI8</f>
        <v>19.89632762533526</v>
      </c>
      <c r="AE8" s="51">
        <f>SUM(I8+I35+I61+I86+I111+I136+I161+I186+I211+I236+I261+I287)</f>
        <v>722</v>
      </c>
      <c r="AF8" s="52">
        <f>AE8*100/AI8</f>
        <v>1.861976480297091</v>
      </c>
      <c r="AG8" s="51">
        <f>SUM(J8+J35+J61+J86+J111+J136+J161+J186+J211+J236+J261+J287)</f>
        <v>848</v>
      </c>
      <c r="AH8" s="52">
        <f t="shared" si="3"/>
        <v>2.1869197441716524</v>
      </c>
      <c r="AI8" s="53">
        <f t="shared" si="4"/>
        <v>38776</v>
      </c>
      <c r="AJ8" s="4"/>
    </row>
    <row r="9" spans="1:36" ht="12.75">
      <c r="A9" s="9" t="s">
        <v>44</v>
      </c>
      <c r="B9" s="11">
        <v>1850</v>
      </c>
      <c r="C9" s="11">
        <v>13916</v>
      </c>
      <c r="D9" s="11">
        <v>15</v>
      </c>
      <c r="E9" s="11"/>
      <c r="F9" s="11">
        <v>1331</v>
      </c>
      <c r="G9" s="11">
        <v>728</v>
      </c>
      <c r="H9" s="11">
        <v>361</v>
      </c>
      <c r="I9" s="11">
        <v>653</v>
      </c>
      <c r="J9" s="11">
        <v>1470</v>
      </c>
      <c r="K9" s="11">
        <f>SUM(B9:J9)</f>
        <v>20324</v>
      </c>
      <c r="L9" s="10" t="s">
        <v>70</v>
      </c>
      <c r="M9" s="23"/>
      <c r="P9" s="51" t="s">
        <v>52</v>
      </c>
      <c r="Q9" s="67">
        <f>SUM(B9+B36++B62+B87+B112+B137+B162+B187+B212+B237+B262+B288)</f>
        <v>45062</v>
      </c>
      <c r="R9" s="52">
        <f>Q9*100/AI9</f>
        <v>17.66402985425666</v>
      </c>
      <c r="S9" s="51">
        <f>SUM(C9+C36+C62+C87+C112+C137+C162+C187+C212+C237+C262+C288)</f>
        <v>150219</v>
      </c>
      <c r="T9" s="52">
        <f>S9*100/AI9</f>
        <v>58.88493410582268</v>
      </c>
      <c r="U9" s="51">
        <f>SUM(D9+D36+D62+D87+D112+D137+D162+D187+D212+D237+D262+D288)</f>
        <v>853</v>
      </c>
      <c r="V9" s="52">
        <f>U9*100/AI9</f>
        <v>0.33437081056502005</v>
      </c>
      <c r="W9" s="51">
        <f>SUM(E9+E36+E62+E87+E112+E137+E162+E187+E212+E237+E262+E288)</f>
        <v>1945</v>
      </c>
      <c r="X9" s="51">
        <f t="shared" si="0"/>
        <v>0.7624281671148464</v>
      </c>
      <c r="Y9" s="51">
        <f>SUM(F9+F36+F62+F87+F111+F136+F161+F186+F211+F237+F262+F288)</f>
        <v>11972</v>
      </c>
      <c r="Z9" s="52">
        <f t="shared" si="1"/>
        <v>4.692951165397913</v>
      </c>
      <c r="AA9" s="51">
        <f>SUM(G9+G36+G62+G87+G112+G137+G162+G187+G212+G237+G262+G288)</f>
        <v>9453</v>
      </c>
      <c r="AB9" s="52">
        <f t="shared" si="2"/>
        <v>3.70551849035303</v>
      </c>
      <c r="AC9" s="51">
        <f>SUM(H9+H36+H62+H87+H112+H137+H162+H187+H212+H237+H262+H288)</f>
        <v>4835</v>
      </c>
      <c r="AD9" s="52">
        <f>AC9*100/AI9</f>
        <v>1.8952905850901194</v>
      </c>
      <c r="AE9" s="51">
        <f>SUM(I9+I36+I62+I87+I112+I137+I162+I187+I212+I237+I262+I288)</f>
        <v>14700</v>
      </c>
      <c r="AF9" s="52">
        <f>AE9*100/AI9</f>
        <v>5.76231056893997</v>
      </c>
      <c r="AG9" s="51">
        <f>SUM(J9+J36+J62+J87+J112+J137+J162+J187+J212+J237+J262+J288)</f>
        <v>16067</v>
      </c>
      <c r="AH9" s="52">
        <f t="shared" si="3"/>
        <v>6.298166252459762</v>
      </c>
      <c r="AI9" s="53">
        <f t="shared" si="4"/>
        <v>255106</v>
      </c>
      <c r="AJ9" s="4"/>
    </row>
    <row r="10" spans="1:36" ht="12.75">
      <c r="A10" s="9" t="s">
        <v>45</v>
      </c>
      <c r="B10" s="11">
        <v>1816</v>
      </c>
      <c r="C10" s="11">
        <v>13866</v>
      </c>
      <c r="D10" s="11">
        <v>15</v>
      </c>
      <c r="E10" s="11"/>
      <c r="F10" s="11">
        <v>1252</v>
      </c>
      <c r="G10" s="11">
        <v>228</v>
      </c>
      <c r="H10" s="11">
        <v>281</v>
      </c>
      <c r="I10" s="11">
        <v>653</v>
      </c>
      <c r="J10" s="11">
        <v>1418</v>
      </c>
      <c r="K10" s="11">
        <f aca="true" t="shared" si="5" ref="K10:K24">SUM(B10:J10)</f>
        <v>19529</v>
      </c>
      <c r="L10" s="10" t="s">
        <v>70</v>
      </c>
      <c r="M10" s="23">
        <f>+K10*50</f>
        <v>976450</v>
      </c>
      <c r="P10" s="51" t="s">
        <v>53</v>
      </c>
      <c r="Q10" s="67">
        <f>SUM(B10+B37++B63+B88+B113+B138+B163+B188+B213+B238+B263+B289)</f>
        <v>42953</v>
      </c>
      <c r="R10" s="52">
        <f>Q10*100/AI10</f>
        <v>16.63716471385688</v>
      </c>
      <c r="S10" s="51">
        <f>SUM(C10+C37+C63+C88+C113+C138+C163+C188+C213+C238+C263+C289)</f>
        <v>149130</v>
      </c>
      <c r="T10" s="52">
        <f>S10*100/AI10</f>
        <v>57.76314515348117</v>
      </c>
      <c r="U10" s="51">
        <f>SUM(D10+D37+D63+D88+D113+D138+D163+D188+D213+D238+D263+D289)</f>
        <v>1010</v>
      </c>
      <c r="V10" s="52">
        <f>U10*100/AI10</f>
        <v>0.3912075142829476</v>
      </c>
      <c r="W10" s="51">
        <f>SUM(E10+E37+E63+E88+E113+E138+E163+E188+E213+E238+E263+E289)</f>
        <v>9453</v>
      </c>
      <c r="X10" s="51">
        <f t="shared" si="0"/>
        <v>3.661469933184855</v>
      </c>
      <c r="Y10" s="51">
        <f>SUM(F10+F37+F63+F88+F112+F137+F162+F187+F212+F238+F263+F289)</f>
        <v>18156</v>
      </c>
      <c r="Z10" s="52">
        <f t="shared" si="1"/>
        <v>7.03243923695168</v>
      </c>
      <c r="AA10" s="51">
        <f>SUM(G10+G37+G63+G88+G113+G138+G163+G188+G213+G238+G263+G289)</f>
        <v>3713</v>
      </c>
      <c r="AB10" s="52">
        <f t="shared" si="2"/>
        <v>1.4381717827055291</v>
      </c>
      <c r="AC10" s="51">
        <f>SUM(H10+H37+H63+H88+H113+H138+H163+H188+H213+H238+H263+H289)</f>
        <v>5025</v>
      </c>
      <c r="AD10" s="52">
        <f>AC10*100/AI10</f>
        <v>1.9463542171008037</v>
      </c>
      <c r="AE10" s="51">
        <f>SUM(I10+I37+I63+I88+I113+I138+I163+I188+I213+I238+I263+I289)</f>
        <v>13493</v>
      </c>
      <c r="AF10" s="52">
        <f>AE10*100/AI10</f>
        <v>5.226299990316646</v>
      </c>
      <c r="AG10" s="51">
        <f>SUM(J10+J37+J63+J88+J113+J138+J163+J188+J213+J238+J263+J289)</f>
        <v>15242</v>
      </c>
      <c r="AH10" s="52">
        <f t="shared" si="3"/>
        <v>5.903747458119493</v>
      </c>
      <c r="AI10" s="53">
        <f t="shared" si="4"/>
        <v>258175</v>
      </c>
      <c r="AJ10" s="4"/>
    </row>
    <row r="11" spans="1:36" ht="12.75">
      <c r="A11" s="9" t="s">
        <v>46</v>
      </c>
      <c r="B11" s="11">
        <v>5065</v>
      </c>
      <c r="C11" s="11">
        <v>390</v>
      </c>
      <c r="D11" s="11">
        <v>400</v>
      </c>
      <c r="E11" s="11"/>
      <c r="F11" s="11"/>
      <c r="G11" s="11">
        <v>1</v>
      </c>
      <c r="H11" s="11">
        <v>1620</v>
      </c>
      <c r="I11" s="11">
        <v>750</v>
      </c>
      <c r="J11" s="11"/>
      <c r="K11" s="11">
        <f t="shared" si="5"/>
        <v>8226</v>
      </c>
      <c r="L11" s="10" t="s">
        <v>70</v>
      </c>
      <c r="M11" s="23"/>
      <c r="P11" s="51" t="s">
        <v>54</v>
      </c>
      <c r="Q11" s="67">
        <f>SUM(B11+B38++B64+B89+B114+B139+B164+B189+B214+B239+B264+B290)</f>
        <v>63105</v>
      </c>
      <c r="R11" s="52" t="e">
        <f>Q11*100/AI11</f>
        <v>#REF!</v>
      </c>
      <c r="S11" s="51">
        <f>SUM(C11+C38+C64+C89+C114+C139+C164+C189+C214+C239+C264+C290)</f>
        <v>4204</v>
      </c>
      <c r="T11" s="52" t="e">
        <f>S11*100/AI11</f>
        <v>#REF!</v>
      </c>
      <c r="U11" s="51">
        <f>SUM(D11+D38+D64+D89+D114+D139+D164+D189+D214+D239+D264+D290)</f>
        <v>1928</v>
      </c>
      <c r="V11" s="52" t="e">
        <f>U11*100/AI11</f>
        <v>#REF!</v>
      </c>
      <c r="W11" s="51">
        <f>SUM(E11+E38+E64+E89+E114+E139+E164+E189+E214+E239+E264+E290)</f>
        <v>243</v>
      </c>
      <c r="X11" s="51" t="e">
        <f t="shared" si="0"/>
        <v>#REF!</v>
      </c>
      <c r="Y11" s="51" t="e">
        <f>SUM(F11+F38+F64+F89+F113+F138+F163+F188+F213+F239+#REF!+#REF!)</f>
        <v>#REF!</v>
      </c>
      <c r="Z11" s="52" t="e">
        <f t="shared" si="1"/>
        <v>#REF!</v>
      </c>
      <c r="AA11" s="51">
        <f>SUM(G11+G38+G64+G89+G114+G139+G164+G189+G214+G239+G264+G290)</f>
        <v>56</v>
      </c>
      <c r="AB11" s="52" t="e">
        <f t="shared" si="2"/>
        <v>#REF!</v>
      </c>
      <c r="AC11" s="51">
        <f>SUM(H11+H38+H64+H89+H114+H139+H164+H189+H214+H239+H264+H290)</f>
        <v>15334</v>
      </c>
      <c r="AD11" s="52" t="e">
        <f>AC11*100/AI11</f>
        <v>#REF!</v>
      </c>
      <c r="AE11" s="51">
        <f>SUM(I11+I38+I64+I89+I114+I139+I164+I189+I214+I239+I264+I290)</f>
        <v>15285</v>
      </c>
      <c r="AF11" s="52" t="e">
        <f>AE11*100/AI11</f>
        <v>#REF!</v>
      </c>
      <c r="AG11" s="51">
        <f>SUM(J11+J38+J64+J89+J114+J139+J164+J189+J214+J239+J264+J290)</f>
        <v>83</v>
      </c>
      <c r="AH11" s="52" t="e">
        <f t="shared" si="3"/>
        <v>#REF!</v>
      </c>
      <c r="AI11" s="53" t="e">
        <f t="shared" si="4"/>
        <v>#REF!</v>
      </c>
      <c r="AJ11" s="4"/>
    </row>
    <row r="12" spans="1:36" ht="12.75">
      <c r="A12" s="9" t="s">
        <v>47</v>
      </c>
      <c r="B12" s="11">
        <v>5065</v>
      </c>
      <c r="C12" s="36">
        <v>345</v>
      </c>
      <c r="D12" s="11">
        <v>400</v>
      </c>
      <c r="E12" s="11"/>
      <c r="F12" s="11"/>
      <c r="G12" s="11"/>
      <c r="H12" s="11">
        <v>1620</v>
      </c>
      <c r="I12" s="11">
        <v>750</v>
      </c>
      <c r="J12" s="11"/>
      <c r="K12" s="11">
        <f t="shared" si="5"/>
        <v>8180</v>
      </c>
      <c r="L12" s="10" t="s">
        <v>70</v>
      </c>
      <c r="M12" s="23">
        <f>+K12*11</f>
        <v>89980</v>
      </c>
      <c r="P12" s="51" t="s">
        <v>55</v>
      </c>
      <c r="Q12" s="67">
        <f>SUM(B12+B39++B65+B90+B115+B140+B165+B190+B215+B240+B265+B291)</f>
        <v>69673</v>
      </c>
      <c r="R12" s="54">
        <f>+Q12*100/K12</f>
        <v>851.7481662591687</v>
      </c>
      <c r="S12" s="55">
        <f>+C12</f>
        <v>345</v>
      </c>
      <c r="T12" s="52">
        <f>+S12*100/K12</f>
        <v>4.21760391198044</v>
      </c>
      <c r="U12" s="51">
        <f>SUM(D12+D39+D65+D90+D115+D140+D165+D190+D215+D240+D265+D291)</f>
        <v>1719</v>
      </c>
      <c r="V12" s="52">
        <f>+U12*100/K12</f>
        <v>21.014669926650367</v>
      </c>
      <c r="W12" s="51">
        <f>SUM(E12+E39+E65+E90+E115+E140+E165+E190+E215+E240+E265+E291)</f>
        <v>278</v>
      </c>
      <c r="X12" s="51">
        <f t="shared" si="0"/>
        <v>0.26774793169538375</v>
      </c>
      <c r="Y12" s="51">
        <f>SUM(F12+F39+F65+F90+F114+F139+F164+F189+F214+F240+F264+F290)</f>
        <v>1170</v>
      </c>
      <c r="Z12" s="52">
        <f t="shared" si="1"/>
        <v>1.1268528060561116</v>
      </c>
      <c r="AA12" s="51">
        <f>SUM(G12+G39+G65+G90+G115+G140+G165+G190+G215+G240+G265+G291)</f>
        <v>0</v>
      </c>
      <c r="AB12" s="52">
        <f t="shared" si="2"/>
        <v>0</v>
      </c>
      <c r="AC12" s="51">
        <f>SUM(H12+H39+H65+H90+H115+H140+H165+H190+H215+H240+H265+H291)</f>
        <v>15334</v>
      </c>
      <c r="AD12" s="52">
        <f>+AC12*100/K12</f>
        <v>187.45721271393643</v>
      </c>
      <c r="AE12" s="51">
        <f>SUM(I12+I39+I65+I90+I115+I140+I165+I190+I215+I240+I265+I291)</f>
        <v>15284</v>
      </c>
      <c r="AF12" s="52" t="e">
        <f>AE11*100/AI11</f>
        <v>#REF!</v>
      </c>
      <c r="AG12" s="51">
        <f>SUM(J12+J39+J65+J90+J115+J140+J165+J190+J215+J240+J265+J291)</f>
        <v>26</v>
      </c>
      <c r="AH12" s="52">
        <f t="shared" si="3"/>
        <v>0.02504117346791359</v>
      </c>
      <c r="AI12" s="53">
        <f t="shared" si="4"/>
        <v>103829</v>
      </c>
      <c r="AJ12" s="4"/>
    </row>
    <row r="13" spans="1:36" ht="12.75">
      <c r="A13" s="9" t="s">
        <v>48</v>
      </c>
      <c r="B13" s="11">
        <v>291</v>
      </c>
      <c r="C13" s="11">
        <v>171</v>
      </c>
      <c r="D13" s="11">
        <v>70</v>
      </c>
      <c r="E13" s="11"/>
      <c r="F13" s="11"/>
      <c r="G13" s="64"/>
      <c r="H13" s="11">
        <v>192</v>
      </c>
      <c r="I13" s="11">
        <v>300</v>
      </c>
      <c r="J13" s="11"/>
      <c r="K13" s="11">
        <f t="shared" si="5"/>
        <v>1024</v>
      </c>
      <c r="L13" s="10" t="s">
        <v>70</v>
      </c>
      <c r="M13" s="23"/>
      <c r="P13" s="51" t="s">
        <v>56</v>
      </c>
      <c r="Q13" s="67">
        <f>SUM(B13+B40++B66+B91+B116+B141+B166+B191+B216+B241+B266+B292)</f>
        <v>10556</v>
      </c>
      <c r="R13" s="52" t="e">
        <f aca="true" t="shared" si="6" ref="R13:R25">Q13*100/AI13</f>
        <v>#REF!</v>
      </c>
      <c r="S13" s="51">
        <f>SUM(C13+C40+C66+C91+C116+C141+C166+C191+C216+C241+C266+C292)</f>
        <v>980</v>
      </c>
      <c r="T13" s="52" t="e">
        <f aca="true" t="shared" si="7" ref="T13:T25">S13*100/AI13</f>
        <v>#REF!</v>
      </c>
      <c r="U13" s="51">
        <f>SUM(D13+D40+D66+D91+D116+D141+D166+D191+D216+D241+D266+D292)</f>
        <v>1083</v>
      </c>
      <c r="V13" s="52" t="e">
        <f aca="true" t="shared" si="8" ref="V13:V25">U13*100/AI13</f>
        <v>#REF!</v>
      </c>
      <c r="W13" s="51">
        <f>SUM(E13+E40+E66+E91+E116+E141+E166+E191+E216+E241+E266+E292)</f>
        <v>457</v>
      </c>
      <c r="X13" s="51" t="e">
        <f t="shared" si="0"/>
        <v>#REF!</v>
      </c>
      <c r="Y13" s="51" t="e">
        <f>SUM(F13+F40+F66+F91+F115+F140+F165+F190+F215+#REF!+F265+F291)</f>
        <v>#REF!</v>
      </c>
      <c r="Z13" s="52" t="e">
        <f t="shared" si="1"/>
        <v>#REF!</v>
      </c>
      <c r="AA13" s="51">
        <f>SUM(G13+G40+G66+G91+G116+G141+G166+G191+G216+G241+G266+G292)</f>
        <v>95</v>
      </c>
      <c r="AB13" s="52" t="e">
        <f t="shared" si="2"/>
        <v>#REF!</v>
      </c>
      <c r="AC13" s="51">
        <f>SUM(H13+H40+H66+H91+H116+H141+H166+H191+H216+H241+H266+H292)</f>
        <v>3722</v>
      </c>
      <c r="AD13" s="52" t="e">
        <f aca="true" t="shared" si="9" ref="AD13:AD25">AC13*100/AI13</f>
        <v>#REF!</v>
      </c>
      <c r="AE13" s="51">
        <f>SUM(I13+I40+I66+I91+I116+I141+I166+I191+I216+I241+I266+I292)</f>
        <v>4759</v>
      </c>
      <c r="AF13" s="52" t="e">
        <f aca="true" t="shared" si="10" ref="AF13:AF25">AE13*100/AI13</f>
        <v>#REF!</v>
      </c>
      <c r="AG13" s="51">
        <f>SUM(J13+J40+J66+J91+J116+J141+J166+J191+J216+J241+J266+J292)</f>
        <v>130</v>
      </c>
      <c r="AH13" s="55">
        <f>+AG13*100/K13</f>
        <v>12.6953125</v>
      </c>
      <c r="AI13" s="53" t="e">
        <f t="shared" si="4"/>
        <v>#REF!</v>
      </c>
      <c r="AJ13" s="4"/>
    </row>
    <row r="14" spans="1:36" ht="12.75">
      <c r="A14" s="9" t="s">
        <v>49</v>
      </c>
      <c r="B14" s="11">
        <v>291</v>
      </c>
      <c r="C14" s="11">
        <v>170</v>
      </c>
      <c r="D14" s="11">
        <v>70</v>
      </c>
      <c r="E14" s="11"/>
      <c r="F14" s="11"/>
      <c r="G14" s="11"/>
      <c r="H14" s="11">
        <v>192</v>
      </c>
      <c r="I14" s="11">
        <v>300</v>
      </c>
      <c r="J14" s="11"/>
      <c r="K14" s="11">
        <f t="shared" si="5"/>
        <v>1023</v>
      </c>
      <c r="L14" s="10" t="s">
        <v>70</v>
      </c>
      <c r="M14" s="23">
        <f>+K14*12</f>
        <v>12276</v>
      </c>
      <c r="P14" s="51" t="s">
        <v>57</v>
      </c>
      <c r="Q14" s="67">
        <f>SUM(B14+B41++B67+B92+B117+B142+B167+B192+B217+B242+B267+B293)</f>
        <v>10336</v>
      </c>
      <c r="R14" s="52">
        <f t="shared" si="6"/>
        <v>48.30809497102262</v>
      </c>
      <c r="S14" s="51">
        <f>SUM(C14+C41+C67+C92+C117+C142+C167+C192+C217+C242+C267+C293)</f>
        <v>973</v>
      </c>
      <c r="T14" s="52">
        <f t="shared" si="7"/>
        <v>4.547578986726491</v>
      </c>
      <c r="U14" s="51">
        <f>SUM(D14+D41+D67+D92+D117+D142+D167+D192+D217+D242+D267+D293)</f>
        <v>1018</v>
      </c>
      <c r="V14" s="52">
        <f t="shared" si="8"/>
        <v>4.757898672649094</v>
      </c>
      <c r="W14" s="51">
        <f>SUM(E14+E41+E67+E92+E117+E142+E167+E192+E217+E242+E267+E293)</f>
        <v>527</v>
      </c>
      <c r="X14" s="51">
        <f t="shared" si="0"/>
        <v>2.4630772106935876</v>
      </c>
      <c r="Y14" s="51">
        <f>SUM(F14+F41+F67+F92+F116+F141+F166+F191+F216+F241+F266+F292)</f>
        <v>2</v>
      </c>
      <c r="Z14" s="52">
        <f t="shared" si="1"/>
        <v>0.009347541596560104</v>
      </c>
      <c r="AA14" s="51">
        <f>SUM(G14+G41+G67+G92+G117+G142+G167+G192+G217+G242+G267+G293)</f>
        <v>0</v>
      </c>
      <c r="AB14" s="52">
        <f t="shared" si="2"/>
        <v>0</v>
      </c>
      <c r="AC14" s="51">
        <f>SUM(H14+H41+H67+H92+H117+H142+H167+H192+H217+H242+H267+H293)</f>
        <v>3713</v>
      </c>
      <c r="AD14" s="52">
        <f t="shared" si="9"/>
        <v>17.353710974013833</v>
      </c>
      <c r="AE14" s="51">
        <f>SUM(I14+I41+I67+I92+I117+I142+I167+I192+I217+I242+I267+I293)</f>
        <v>4742</v>
      </c>
      <c r="AF14" s="52">
        <f t="shared" si="10"/>
        <v>22.163021125444008</v>
      </c>
      <c r="AG14" s="51">
        <f>SUM(J14+J41+J67+J92+J117+J142+J167+J192+J217+J242+J267+J293)</f>
        <v>85</v>
      </c>
      <c r="AH14" s="52">
        <f aca="true" t="shared" si="11" ref="AH14:AH25">AG14*100/AI14</f>
        <v>0.39727051785380446</v>
      </c>
      <c r="AI14" s="53">
        <f t="shared" si="4"/>
        <v>21396</v>
      </c>
      <c r="AJ14" s="4"/>
    </row>
    <row r="15" spans="1:36" ht="12.75">
      <c r="A15" s="18" t="s">
        <v>66</v>
      </c>
      <c r="B15" s="11"/>
      <c r="C15" s="11"/>
      <c r="D15" s="11"/>
      <c r="E15" s="11"/>
      <c r="F15" s="11">
        <v>3</v>
      </c>
      <c r="G15" s="11"/>
      <c r="H15" s="11"/>
      <c r="I15" s="11"/>
      <c r="J15" s="11"/>
      <c r="K15" s="11">
        <f t="shared" si="5"/>
        <v>3</v>
      </c>
      <c r="L15" s="10" t="s">
        <v>70</v>
      </c>
      <c r="M15" s="23"/>
      <c r="P15" s="102" t="s">
        <v>61</v>
      </c>
      <c r="Q15" s="67">
        <f>SUM(B15+B42++B68+B93+B118+B143+B168+B193+B218+B243+B268+B294)</f>
        <v>54</v>
      </c>
      <c r="R15" s="52">
        <f t="shared" si="6"/>
        <v>21.86234817813765</v>
      </c>
      <c r="S15" s="51">
        <f>SUM(C15+C42+C68+C93+C118+C143+C168+C193+C218+C243+C268+C294)</f>
        <v>4</v>
      </c>
      <c r="T15" s="52">
        <f t="shared" si="7"/>
        <v>1.6194331983805668</v>
      </c>
      <c r="U15" s="51">
        <f>SUM(D15+D42+D68+D93+D118+D143+D168+D193+D218+D243+D268+D294)</f>
        <v>0</v>
      </c>
      <c r="V15" s="52">
        <f t="shared" si="8"/>
        <v>0</v>
      </c>
      <c r="W15" s="51">
        <f>SUM(E15+E42+E68+E93+E118+E143+E168+E193+E218+E243+E268+E294)</f>
        <v>0</v>
      </c>
      <c r="X15" s="52">
        <f aca="true" t="shared" si="12" ref="X15:X25">W15*100/AI15</f>
        <v>0</v>
      </c>
      <c r="Y15" s="51">
        <f>SUM(F15+F42+F68+F93+F117+F142+F167+F192+F217+F242+F267+F293)</f>
        <v>173</v>
      </c>
      <c r="Z15" s="52">
        <f t="shared" si="1"/>
        <v>70.04048582995951</v>
      </c>
      <c r="AA15" s="51">
        <f>SUM(G15+G42+G68+G93+G118+G143+G168+G193+G218+G243+G268+G294)</f>
        <v>6</v>
      </c>
      <c r="AB15" s="52">
        <f t="shared" si="2"/>
        <v>2.42914979757085</v>
      </c>
      <c r="AC15" s="51">
        <f>SUM(H15+H42+H68+H93+H118+H143+H168+H193+H218+H243+H268+H294)</f>
        <v>8</v>
      </c>
      <c r="AD15" s="52">
        <f t="shared" si="9"/>
        <v>3.2388663967611335</v>
      </c>
      <c r="AE15" s="51">
        <f>SUM(I15+I42+I68+I93+I118+I143+I168+I193+I218+I243+I268+I294)</f>
        <v>2</v>
      </c>
      <c r="AF15" s="56">
        <f t="shared" si="10"/>
        <v>0.8097165991902834</v>
      </c>
      <c r="AG15" s="51">
        <f>SUM(J15+J42+J68+J93+J118+J143+J168+J193+J218+J243+J268+J294)</f>
        <v>0</v>
      </c>
      <c r="AH15" s="56">
        <f t="shared" si="11"/>
        <v>0</v>
      </c>
      <c r="AI15" s="53">
        <f t="shared" si="4"/>
        <v>247</v>
      </c>
      <c r="AJ15" s="4"/>
    </row>
    <row r="16" spans="1:36" ht="12.75">
      <c r="A16" s="18" t="s">
        <v>67</v>
      </c>
      <c r="B16" s="11"/>
      <c r="C16" s="11"/>
      <c r="D16" s="11"/>
      <c r="E16" s="11"/>
      <c r="F16" s="11">
        <v>3</v>
      </c>
      <c r="G16" s="11"/>
      <c r="H16" s="11"/>
      <c r="I16" s="11"/>
      <c r="J16" s="11"/>
      <c r="K16" s="11">
        <f t="shared" si="5"/>
        <v>3</v>
      </c>
      <c r="L16" s="10" t="s">
        <v>70</v>
      </c>
      <c r="M16" s="23">
        <f>+K16*245</f>
        <v>735</v>
      </c>
      <c r="P16" s="102" t="s">
        <v>62</v>
      </c>
      <c r="Q16" s="67">
        <f>SUM(B16+B43++B69+B94+B119+B144+B169+B194+B219+B244+B269+B295)</f>
        <v>4</v>
      </c>
      <c r="R16" s="52">
        <f t="shared" si="6"/>
        <v>5.2631578947368425</v>
      </c>
      <c r="S16" s="51">
        <f>SUM(C16+C43+C69+C94+C119+C144+C169+C194+C219+C244+C269+C295)</f>
        <v>4</v>
      </c>
      <c r="T16" s="52">
        <f t="shared" si="7"/>
        <v>5.2631578947368425</v>
      </c>
      <c r="U16" s="51">
        <f>SUM(D16+D43+D69+D94+D119+D144+D169+D194+D219+D244+D269+D295)</f>
        <v>0</v>
      </c>
      <c r="V16" s="52">
        <f t="shared" si="8"/>
        <v>0</v>
      </c>
      <c r="W16" s="51">
        <f>SUM(E16+E43+E69+E94+E119+E144+E169+E194+E219+E244+E269+E295)</f>
        <v>0</v>
      </c>
      <c r="X16" s="52">
        <f t="shared" si="12"/>
        <v>0</v>
      </c>
      <c r="Y16" s="51">
        <f>SUM(F16+F43+F69+F94+F118+F143+F168+F193+F218+F243+F268+F294)</f>
        <v>56</v>
      </c>
      <c r="Z16" s="52">
        <f t="shared" si="1"/>
        <v>73.6842105263158</v>
      </c>
      <c r="AA16" s="51">
        <f>SUM(G16+G43+G69+G94+G119+G144+G169+G194+G219+G244+G269+G295)</f>
        <v>2</v>
      </c>
      <c r="AB16" s="52">
        <f t="shared" si="2"/>
        <v>2.6315789473684212</v>
      </c>
      <c r="AC16" s="51">
        <f>SUM(H16+H43+H69+H94+H119+H144+H169+H194+H219+H244+H269+H295)</f>
        <v>8</v>
      </c>
      <c r="AD16" s="52">
        <f t="shared" si="9"/>
        <v>10.526315789473685</v>
      </c>
      <c r="AE16" s="51">
        <f>SUM(I16+I43+I69+I94+I119+I144+I169+I194+I219+I244+I269+I295)</f>
        <v>2</v>
      </c>
      <c r="AF16" s="57">
        <f t="shared" si="10"/>
        <v>2.6315789473684212</v>
      </c>
      <c r="AG16" s="51">
        <f>SUM(J16+J43+J69+J94+J119+J144+J169+J194+J219+J244+J269+J295)</f>
        <v>0</v>
      </c>
      <c r="AH16" s="57">
        <f t="shared" si="11"/>
        <v>0</v>
      </c>
      <c r="AI16" s="53">
        <f aca="true" t="shared" si="13" ref="AI16:AI25">+Q16+S16+U16+W16+Y16+AA16+AC16+AE16+AG16</f>
        <v>76</v>
      </c>
      <c r="AJ16" s="4"/>
    </row>
    <row r="17" spans="1:36" ht="12.75">
      <c r="A17" s="9" t="s">
        <v>27</v>
      </c>
      <c r="B17" s="11"/>
      <c r="C17" s="11"/>
      <c r="D17" s="11"/>
      <c r="E17" s="11"/>
      <c r="F17" s="11"/>
      <c r="G17" s="11">
        <v>75</v>
      </c>
      <c r="H17" s="11"/>
      <c r="I17" s="64">
        <v>360</v>
      </c>
      <c r="J17" s="11">
        <v>168</v>
      </c>
      <c r="K17" s="11">
        <f t="shared" si="5"/>
        <v>603</v>
      </c>
      <c r="L17" s="10" t="s">
        <v>70</v>
      </c>
      <c r="M17" s="23"/>
      <c r="P17" s="51" t="s">
        <v>34</v>
      </c>
      <c r="Q17" s="67">
        <f>SUM(B17+B44++B70+B95+B120+B145+B170+B195+B220+B245+B270+B296)</f>
        <v>0</v>
      </c>
      <c r="R17" s="52">
        <f t="shared" si="6"/>
        <v>0</v>
      </c>
      <c r="S17" s="51">
        <f>SUM(C17+C44+C70+C95+C120+C145+C170+C195+C220+C245+C270+C296)</f>
        <v>0</v>
      </c>
      <c r="T17" s="52">
        <f t="shared" si="7"/>
        <v>0</v>
      </c>
      <c r="U17" s="51">
        <f>SUM(D17+D44+D70+D95+D120+D145+D170+D195+D220+D245+D270+D296)</f>
        <v>0</v>
      </c>
      <c r="V17" s="52">
        <f t="shared" si="8"/>
        <v>0</v>
      </c>
      <c r="W17" s="51">
        <f>SUM(E17+E44+E70+E95+E120+E145+E170+E195+E220+E245+E270+E296)</f>
        <v>450</v>
      </c>
      <c r="X17" s="51">
        <f t="shared" si="12"/>
        <v>5.605381165919282</v>
      </c>
      <c r="Y17" s="51">
        <f>SUM(F17+F44+F70+F95+F119+F144+F169+F194+F219+F244+F269+F295)</f>
        <v>0</v>
      </c>
      <c r="Z17" s="52">
        <f t="shared" si="1"/>
        <v>0</v>
      </c>
      <c r="AA17" s="51">
        <f>SUM(G17+G44+G70+G95+G120+G145+G170+G195+G220+G245+G270+G296)</f>
        <v>2935</v>
      </c>
      <c r="AB17" s="52">
        <f aca="true" t="shared" si="14" ref="AB17:AB25">AA17*100/AI17</f>
        <v>36.559541604384655</v>
      </c>
      <c r="AC17" s="51">
        <f>SUM(H17+H44+H70+H95+H120+H145+H170+H195+H220+H245+H270+H296)</f>
        <v>0</v>
      </c>
      <c r="AD17" s="52">
        <f t="shared" si="9"/>
        <v>0</v>
      </c>
      <c r="AE17" s="51">
        <f>SUM(I17+I44+I70+I95+I120+I145+I170+I195+I220+I245+I270+I296)</f>
        <v>3012</v>
      </c>
      <c r="AF17" s="52">
        <f t="shared" si="10"/>
        <v>37.5186846038864</v>
      </c>
      <c r="AG17" s="51">
        <f>SUM(J17+J44+J70+J95+J120+J145+J170+J195+J220+J245+J270+J296)</f>
        <v>1631</v>
      </c>
      <c r="AH17" s="52">
        <f t="shared" si="11"/>
        <v>20.316392625809666</v>
      </c>
      <c r="AI17" s="53">
        <f t="shared" si="13"/>
        <v>8028</v>
      </c>
      <c r="AJ17" s="4"/>
    </row>
    <row r="18" spans="1:36" ht="12.75">
      <c r="A18" s="9" t="s">
        <v>28</v>
      </c>
      <c r="B18" s="11"/>
      <c r="C18" s="11"/>
      <c r="D18" s="11"/>
      <c r="E18" s="11"/>
      <c r="F18" s="11"/>
      <c r="G18" s="11">
        <v>113</v>
      </c>
      <c r="H18" s="11"/>
      <c r="I18" s="11">
        <v>703</v>
      </c>
      <c r="J18" s="66">
        <v>252</v>
      </c>
      <c r="K18" s="11">
        <f t="shared" si="5"/>
        <v>1068</v>
      </c>
      <c r="L18" s="10" t="s">
        <v>71</v>
      </c>
      <c r="M18" s="23">
        <f>+K18</f>
        <v>1068</v>
      </c>
      <c r="P18" s="51" t="s">
        <v>28</v>
      </c>
      <c r="Q18" s="67">
        <f>SUM(B18+B45++B71+B96+B121+B146+B171+B196+B221+B246+B271+B297)</f>
        <v>0</v>
      </c>
      <c r="R18" s="52">
        <f t="shared" si="6"/>
        <v>0</v>
      </c>
      <c r="S18" s="51">
        <f>SUM(C18+C45+C71+C96+C121+C146+C171+C196+C221+C246+C271+C297)</f>
        <v>0</v>
      </c>
      <c r="T18" s="52">
        <f t="shared" si="7"/>
        <v>0</v>
      </c>
      <c r="U18" s="51">
        <f>SUM(D18+D45+D71+D96+D121+D146+D171+D196+D221+D246+D271+D297)</f>
        <v>0</v>
      </c>
      <c r="V18" s="52">
        <f t="shared" si="8"/>
        <v>0</v>
      </c>
      <c r="W18" s="51">
        <f>SUM(E18+E45+E71+E96+E121+E146+E171+E196+E221+E246+E271+E297)</f>
        <v>525</v>
      </c>
      <c r="X18" s="51">
        <f t="shared" si="12"/>
        <v>4.017447199265381</v>
      </c>
      <c r="Y18" s="51">
        <f>SUM(F18+F45+F71+F96+F120+F145+F170+F195+F220+F245+F270+F296)</f>
        <v>0</v>
      </c>
      <c r="Z18" s="52">
        <f t="shared" si="1"/>
        <v>0</v>
      </c>
      <c r="AA18" s="51">
        <f>SUM(G18+G45+G71+G96+G121+G146+G171+G196+G221+G246+G271+G297)</f>
        <v>4422</v>
      </c>
      <c r="AB18" s="52">
        <f t="shared" si="14"/>
        <v>33.83838383838384</v>
      </c>
      <c r="AC18" s="51">
        <f>SUM(H18+H45+H71+H96+H121+H146+H171+H196+H221+H246+H271+H297)</f>
        <v>0</v>
      </c>
      <c r="AD18" s="52">
        <f t="shared" si="9"/>
        <v>0</v>
      </c>
      <c r="AE18" s="51">
        <f>SUM(I18+I45+I71+I96+I121+I146+I171+I196+I221+I246+I271+I297)</f>
        <v>5367</v>
      </c>
      <c r="AF18" s="52">
        <f t="shared" si="10"/>
        <v>41.06978879706153</v>
      </c>
      <c r="AG18" s="51">
        <f>SUM(J18+J45+J71+J96+J121+J146+J171+J196+J221+J246+J271+J297)</f>
        <v>2754</v>
      </c>
      <c r="AH18" s="52">
        <f t="shared" si="11"/>
        <v>21.074380165289256</v>
      </c>
      <c r="AI18" s="53">
        <f t="shared" si="13"/>
        <v>13068</v>
      </c>
      <c r="AJ18" s="4"/>
    </row>
    <row r="19" spans="1:36" ht="12.75">
      <c r="A19" s="9" t="s">
        <v>31</v>
      </c>
      <c r="B19" s="64">
        <v>373080</v>
      </c>
      <c r="C19" s="64">
        <v>165700</v>
      </c>
      <c r="D19" s="11"/>
      <c r="E19" s="11"/>
      <c r="F19" s="64">
        <v>1079008</v>
      </c>
      <c r="G19" s="11">
        <v>96500</v>
      </c>
      <c r="H19" s="11"/>
      <c r="I19" s="64">
        <v>2304591</v>
      </c>
      <c r="J19" s="11"/>
      <c r="K19" s="11">
        <f t="shared" si="5"/>
        <v>4018879</v>
      </c>
      <c r="L19" s="10" t="s">
        <v>70</v>
      </c>
      <c r="M19" s="23">
        <f>+K19*1.5</f>
        <v>6028318.5</v>
      </c>
      <c r="P19" s="51" t="s">
        <v>31</v>
      </c>
      <c r="Q19" s="67">
        <f>SUM(B19+B46++B72+B97+B122+B147+B172+B197+B222+B247+B272+B298)</f>
        <v>1418369</v>
      </c>
      <c r="R19" s="52">
        <f t="shared" si="6"/>
        <v>4.08770803881321</v>
      </c>
      <c r="S19" s="51">
        <f>SUM(C19+C46+C72+C97+C122+C147+C172+C197+C222+C247+C272+C298)</f>
        <v>1573491</v>
      </c>
      <c r="T19" s="52">
        <f t="shared" si="7"/>
        <v>4.534766206607896</v>
      </c>
      <c r="U19" s="51">
        <f>SUM(D19+D46+D72+D97+D122+D147+D172+D197+D222+D247+D272+D298)</f>
        <v>124400</v>
      </c>
      <c r="V19" s="52">
        <f t="shared" si="8"/>
        <v>0.35851804433709655</v>
      </c>
      <c r="W19" s="51">
        <f>SUM(E19+E46+E72+E97+E122+E147+E172+E197+E222+E247+E272+E298)</f>
        <v>0</v>
      </c>
      <c r="X19" s="51">
        <f t="shared" si="12"/>
        <v>0</v>
      </c>
      <c r="Y19" s="51">
        <f>SUM(F19+F46+F72+F97+F121+F146+F171+F196+F221+F246+F271+F297)</f>
        <v>9734568</v>
      </c>
      <c r="Z19" s="52">
        <f t="shared" si="1"/>
        <v>28.054809339441167</v>
      </c>
      <c r="AA19" s="51">
        <f>SUM(G19+G46+G72+G97+G122+G147+G172+G197+G222+G247+G272+G298)</f>
        <v>2646130</v>
      </c>
      <c r="AB19" s="52">
        <f t="shared" si="14"/>
        <v>7.626088043904511</v>
      </c>
      <c r="AC19" s="51">
        <f>SUM(H19+H46+H72+H97+H122+H147+H172+H197+H222+H247+H272+H298)</f>
        <v>1500</v>
      </c>
      <c r="AD19" s="52">
        <f t="shared" si="9"/>
        <v>0.004322966772553415</v>
      </c>
      <c r="AE19" s="51">
        <f>SUM(I19+I46+I72+I97+I122+I147+I172+I197+I222+I247+I272+I298)</f>
        <v>19199935</v>
      </c>
      <c r="AF19" s="52">
        <f t="shared" si="10"/>
        <v>55.333787360123566</v>
      </c>
      <c r="AG19" s="51">
        <f>SUM(J19+J46+J72+J97+J122+J147+J172+J197+J222+J247+J272+J298)</f>
        <v>0</v>
      </c>
      <c r="AH19" s="52">
        <f t="shared" si="11"/>
        <v>0</v>
      </c>
      <c r="AI19" s="53">
        <f t="shared" si="13"/>
        <v>34698393</v>
      </c>
      <c r="AJ19" s="4"/>
    </row>
    <row r="20" spans="1:36" ht="12.75">
      <c r="A20" s="9" t="s">
        <v>32</v>
      </c>
      <c r="B20" s="11"/>
      <c r="C20" s="64">
        <v>22440</v>
      </c>
      <c r="D20" s="11"/>
      <c r="E20" s="11"/>
      <c r="F20" s="64">
        <v>4500</v>
      </c>
      <c r="G20" s="11">
        <v>6498</v>
      </c>
      <c r="H20" s="11"/>
      <c r="I20" s="64"/>
      <c r="J20" s="11"/>
      <c r="K20" s="11">
        <f t="shared" si="5"/>
        <v>33438</v>
      </c>
      <c r="L20" s="10" t="s">
        <v>70</v>
      </c>
      <c r="M20" s="23">
        <f>+K20*2</f>
        <v>66876</v>
      </c>
      <c r="P20" s="51" t="s">
        <v>32</v>
      </c>
      <c r="Q20" s="67">
        <f>SUM(B20+B47++B73+B98+B123+B148+B173+B198+B223+B248+B273+B299)</f>
        <v>47750</v>
      </c>
      <c r="R20" s="52">
        <f t="shared" si="6"/>
        <v>7.48589829211778</v>
      </c>
      <c r="S20" s="51">
        <f>SUM(C20+C47+C73+C98+C123+C148+C173+C198+C223+C248+C273+C299)</f>
        <v>429986</v>
      </c>
      <c r="T20" s="52">
        <f t="shared" si="7"/>
        <v>67.41008299548808</v>
      </c>
      <c r="U20" s="51">
        <f>SUM(D20+D47+D73+D98+D123+D148+D173+D198+D223+D248+D273+D299)</f>
        <v>0</v>
      </c>
      <c r="V20" s="52">
        <f t="shared" si="8"/>
        <v>0</v>
      </c>
      <c r="W20" s="51">
        <f>SUM(E20+E47+E73+E98+E123+E148+E173+E198+E223+E248+E273+E299)</f>
        <v>0</v>
      </c>
      <c r="X20" s="51">
        <f t="shared" si="12"/>
        <v>0</v>
      </c>
      <c r="Y20" s="51">
        <f>SUM(F20+F47+F73+F98+F122+F147+F172+F197+F222+F247+F272+F298)</f>
        <v>4500</v>
      </c>
      <c r="Z20" s="52">
        <f t="shared" si="1"/>
        <v>0.7054773259587437</v>
      </c>
      <c r="AA20" s="51">
        <f>SUM(G20+G47+G73+G98+G123+G148+G173+G198+G223+G248+G273+G299)</f>
        <v>80933</v>
      </c>
      <c r="AB20" s="52">
        <f t="shared" si="14"/>
        <v>12.688088093737557</v>
      </c>
      <c r="AC20" s="51">
        <f>SUM(H20+H47+H73+H98+H123+H148+H173+H198+H223+H248+H273+H299)</f>
        <v>0</v>
      </c>
      <c r="AD20" s="52">
        <f t="shared" si="9"/>
        <v>0</v>
      </c>
      <c r="AE20" s="51">
        <f>SUM(I20+I47+I73+I98+I123+I148+I173+I198+I223+I248+I273+I299)</f>
        <v>74697</v>
      </c>
      <c r="AF20" s="52">
        <f t="shared" si="10"/>
        <v>11.710453292697839</v>
      </c>
      <c r="AG20" s="51">
        <f>SUM(J20+J47+J73+J98+J123+J148+J173+J198+J223+J248+J273+J299)</f>
        <v>0</v>
      </c>
      <c r="AH20" s="52">
        <f t="shared" si="11"/>
        <v>0</v>
      </c>
      <c r="AI20" s="53">
        <f t="shared" si="13"/>
        <v>637866</v>
      </c>
      <c r="AJ20" s="4"/>
    </row>
    <row r="21" spans="1:36" ht="12.75">
      <c r="A21" s="9" t="s">
        <v>29</v>
      </c>
      <c r="B21" s="64">
        <v>3047501</v>
      </c>
      <c r="C21" s="64">
        <v>1265000</v>
      </c>
      <c r="D21" s="64">
        <f>228000+284000+240000+218000+8000+21000+21000+19000+24000+50000+12000+22000+10000+10000+9000+12000</f>
        <v>1188000</v>
      </c>
      <c r="E21" s="64">
        <f>3255+3410+2790+620+3720+1550+1550+3100+97185</f>
        <v>117180</v>
      </c>
      <c r="F21" s="64">
        <f>52290+20140+29422+22320+17590+111000+31490+615748</f>
        <v>900000</v>
      </c>
      <c r="G21" s="64">
        <f>124000+49600+72850+105400</f>
        <v>351850</v>
      </c>
      <c r="H21" s="64">
        <f>45034+843781+10676+45553</f>
        <v>945044</v>
      </c>
      <c r="I21" s="64">
        <f>3200+15200+7200+14400+22000+3520+3200+3120+3000+45910</f>
        <v>120750</v>
      </c>
      <c r="J21" s="11"/>
      <c r="K21" s="11">
        <f t="shared" si="5"/>
        <v>7935325</v>
      </c>
      <c r="L21" s="10" t="s">
        <v>72</v>
      </c>
      <c r="M21" s="23"/>
      <c r="P21" s="51" t="s">
        <v>29</v>
      </c>
      <c r="Q21" s="67">
        <f>SUM(B21+B48++B74+B99+B124+B149+B174+B199+B224+B249+B274+B300)</f>
        <v>58945852</v>
      </c>
      <c r="R21" s="52">
        <f t="shared" si="6"/>
        <v>49.32244062132976</v>
      </c>
      <c r="S21" s="51">
        <f>SUM(C21+C48+C74+C99+C124+C149+C174+C199+C224+C249+C274+C300)</f>
        <v>16023928</v>
      </c>
      <c r="T21" s="52">
        <f t="shared" si="7"/>
        <v>13.407885550631509</v>
      </c>
      <c r="U21" s="51">
        <f>SUM(D21+D48+D74+D99+D124+D149+D174+D199+D224+D249+D274+D300)</f>
        <v>16128946</v>
      </c>
      <c r="V21" s="52">
        <f t="shared" si="8"/>
        <v>13.495758469478636</v>
      </c>
      <c r="W21" s="51">
        <f>SUM(E21+E48+E74+E99+E124+E149+E174+E199+E224+E249+E274+E300)</f>
        <v>1343251</v>
      </c>
      <c r="X21" s="52">
        <f t="shared" si="12"/>
        <v>1.1239538566181353</v>
      </c>
      <c r="Y21" s="51">
        <f>SUM(F21+F48+F74+F99+F123+F148+F173+F198+F223+F248+F273+F299)</f>
        <v>10063040</v>
      </c>
      <c r="Z21" s="52">
        <f t="shared" si="1"/>
        <v>8.420163184172251</v>
      </c>
      <c r="AA21" s="51">
        <f>SUM(G21+G48+G74+G99+G124+G149+G174+G199+G224+G249+G274+G300)</f>
        <v>4081747</v>
      </c>
      <c r="AB21" s="52">
        <f t="shared" si="14"/>
        <v>3.4153671074054692</v>
      </c>
      <c r="AC21" s="51">
        <f>SUM(H21+H48+H74+H99+H124+H149+H174+H199+H224+H249+H274+H300)</f>
        <v>11347323</v>
      </c>
      <c r="AD21" s="52">
        <f t="shared" si="9"/>
        <v>9.494776068018314</v>
      </c>
      <c r="AE21" s="51">
        <f>SUM(I21+I48+I74+I99+I124+I149+I174+I199+I224+I249+I274+I300)</f>
        <v>1577136</v>
      </c>
      <c r="AF21" s="52">
        <f t="shared" si="10"/>
        <v>1.3196551423459202</v>
      </c>
      <c r="AG21" s="51">
        <f>SUM(J21+J48+J74+J99+J124+J149+J174+J199+J224+J249+J274+J300)</f>
        <v>0</v>
      </c>
      <c r="AH21" s="52">
        <f t="shared" si="11"/>
        <v>0</v>
      </c>
      <c r="AI21" s="53">
        <f t="shared" si="13"/>
        <v>119511223</v>
      </c>
      <c r="AJ21" s="4"/>
    </row>
    <row r="22" spans="1:36" ht="12.75">
      <c r="A22" s="9" t="s">
        <v>30</v>
      </c>
      <c r="B22" s="64">
        <v>279377</v>
      </c>
      <c r="C22" s="11"/>
      <c r="D22" s="11"/>
      <c r="E22" s="64">
        <v>1333</v>
      </c>
      <c r="F22" s="65">
        <v>22316</v>
      </c>
      <c r="G22" s="64">
        <f>6200+1860+3100+1550+1550</f>
        <v>14260</v>
      </c>
      <c r="H22" s="64">
        <f>1705+11922+88146</f>
        <v>101773</v>
      </c>
      <c r="I22" s="64">
        <f>600+300+592+420+1600+1288</f>
        <v>4800</v>
      </c>
      <c r="J22" s="11"/>
      <c r="K22" s="11">
        <f t="shared" si="5"/>
        <v>423859</v>
      </c>
      <c r="L22" s="10" t="s">
        <v>73</v>
      </c>
      <c r="M22" s="23"/>
      <c r="P22" s="51" t="s">
        <v>30</v>
      </c>
      <c r="Q22" s="67">
        <f>SUM(B22+B49++B75+B100+B125+B150+B175+B200+B225+B250+B275+B301)</f>
        <v>5854209</v>
      </c>
      <c r="R22" s="52">
        <f t="shared" si="6"/>
        <v>78.88532041604255</v>
      </c>
      <c r="S22" s="51">
        <f>SUM(C22+C49+C75+C100+C125+C150+C175+C200+C225+C250+C275+C301)</f>
        <v>0</v>
      </c>
      <c r="T22" s="52">
        <f t="shared" si="7"/>
        <v>0</v>
      </c>
      <c r="U22" s="51">
        <f>SUM(D22+D49+D75+D100+D125+D150+D175+D200+D225+D250+D275+D301)</f>
        <v>6980</v>
      </c>
      <c r="V22" s="52">
        <f t="shared" si="8"/>
        <v>0.09405532609170206</v>
      </c>
      <c r="W22" s="51">
        <f>SUM(E22+E49+E75+E100+E125+E150+E175+E200+E225+E250+E275+E301)</f>
        <v>10291</v>
      </c>
      <c r="X22" s="52">
        <f t="shared" si="12"/>
        <v>0.13867096859737907</v>
      </c>
      <c r="Y22" s="51">
        <f>SUM(F22+F49+F75+F100+F124+F149+F174+F199+F224+F249+F274+F300)</f>
        <v>184829</v>
      </c>
      <c r="Z22" s="52">
        <f t="shared" si="1"/>
        <v>2.490566169943152</v>
      </c>
      <c r="AA22" s="51">
        <f>SUM(G22+G49+G75+G100+G125+G150+G175+G200+G225+G250+G275+G301)</f>
        <v>164200</v>
      </c>
      <c r="AB22" s="52">
        <f t="shared" si="14"/>
        <v>2.2125909089194096</v>
      </c>
      <c r="AC22" s="51">
        <f>SUM(H22+H49+H75+H100+H125+H150+H175+H200+H225+H250+H275+H301)</f>
        <v>1108487</v>
      </c>
      <c r="AD22" s="52">
        <f t="shared" si="9"/>
        <v>14.936834706792627</v>
      </c>
      <c r="AE22" s="51">
        <f>SUM(I22+I49+I75+I100+I125+I150+I175+I200+I225+I250+I275+I301)</f>
        <v>92168</v>
      </c>
      <c r="AF22" s="52">
        <f t="shared" si="10"/>
        <v>1.24196150361318</v>
      </c>
      <c r="AG22" s="51">
        <f>SUM(J22+J49+J75+J100+J125+J150+J175+J200+J225+J250+J275+J301)</f>
        <v>0</v>
      </c>
      <c r="AH22" s="52">
        <f t="shared" si="11"/>
        <v>0</v>
      </c>
      <c r="AI22" s="53">
        <f t="shared" si="13"/>
        <v>7421164</v>
      </c>
      <c r="AJ22" s="4"/>
    </row>
    <row r="23" spans="1:36" ht="12.75">
      <c r="A23" s="9" t="s">
        <v>38</v>
      </c>
      <c r="B23" s="64">
        <v>1729844</v>
      </c>
      <c r="C23" s="64">
        <f>19343880+12600+45720+279000+205920+91800+108720+132120+612360+114840+63360+62280+100440+111600+111600+50760+644400+24840+50760+38880+75960+46800+100440</f>
        <v>22429080</v>
      </c>
      <c r="D23" s="11"/>
      <c r="E23" s="11"/>
      <c r="F23" s="11"/>
      <c r="G23" s="11"/>
      <c r="H23" s="11"/>
      <c r="I23" s="11"/>
      <c r="J23" s="11"/>
      <c r="K23" s="11">
        <f t="shared" si="5"/>
        <v>24158924</v>
      </c>
      <c r="L23" s="10" t="s">
        <v>74</v>
      </c>
      <c r="M23" s="23"/>
      <c r="P23" s="51" t="s">
        <v>40</v>
      </c>
      <c r="Q23" s="67">
        <f>SUM(B23+B50++B76+B101+B126+B151+B176+B201+B226+B251+B276+B302)</f>
        <v>26190735</v>
      </c>
      <c r="R23" s="52">
        <f t="shared" si="6"/>
        <v>7.477968322205083</v>
      </c>
      <c r="S23" s="51">
        <f>SUM(C23+C50+C76+C101+C126+C151+C176+C201+C226+C251+C276+C302)</f>
        <v>299753104</v>
      </c>
      <c r="T23" s="52">
        <f t="shared" si="7"/>
        <v>85.58538797000718</v>
      </c>
      <c r="U23" s="51">
        <f>SUM(D23+D50+D76+D101+D126+D151+D176+D201+D226+D251+D276+D302)</f>
        <v>1287220</v>
      </c>
      <c r="V23" s="52">
        <f t="shared" si="8"/>
        <v>0.36752654645655525</v>
      </c>
      <c r="W23" s="51">
        <f>SUM(E23+E50+E76+E101+E126+E151+E176+E201+E226+E251+E276+E302)</f>
        <v>397745</v>
      </c>
      <c r="X23" s="58">
        <f t="shared" si="12"/>
        <v>0.1135639954478353</v>
      </c>
      <c r="Y23" s="51">
        <f>SUM(F23+F50+F76+F101+F125+F150+F175+F200+F225+F250+F275+F301)</f>
        <v>5410453</v>
      </c>
      <c r="Z23" s="52">
        <f t="shared" si="1"/>
        <v>1.544790405568208</v>
      </c>
      <c r="AA23" s="51">
        <f>SUM(G23+G50+G76+G101+G126+G151+G176+G201+G226+G251+G276+G302)</f>
        <v>3330580</v>
      </c>
      <c r="AB23" s="52">
        <f t="shared" si="14"/>
        <v>0.9509458873364877</v>
      </c>
      <c r="AC23" s="51">
        <f>SUM(H23+H50+H76+H101+H126+H151+H176+H201+H226+H251+H276+H302)</f>
        <v>0</v>
      </c>
      <c r="AD23" s="52">
        <f t="shared" si="9"/>
        <v>0</v>
      </c>
      <c r="AE23" s="51">
        <f>SUM(I23+I50+I76+I101+I126+I151+I176+I201+I226+I251+I276+I302)</f>
        <v>13868809</v>
      </c>
      <c r="AF23" s="52">
        <f t="shared" si="10"/>
        <v>3.9598168729786605</v>
      </c>
      <c r="AG23" s="51">
        <f>SUM(J23+J50+J76+J101+J126+J151+J176+J201+J226+J251+J276+J302)</f>
        <v>0</v>
      </c>
      <c r="AH23" s="52">
        <f t="shared" si="11"/>
        <v>0</v>
      </c>
      <c r="AI23" s="53">
        <f t="shared" si="13"/>
        <v>350238646</v>
      </c>
      <c r="AJ23" s="4"/>
    </row>
    <row r="24" spans="1:36" ht="12.75">
      <c r="A24" s="18" t="s">
        <v>60</v>
      </c>
      <c r="B24" s="11"/>
      <c r="C24" s="11"/>
      <c r="D24" s="66"/>
      <c r="E24" s="64">
        <v>1239300</v>
      </c>
      <c r="F24" s="11"/>
      <c r="G24" s="64">
        <f>668520+18000</f>
        <v>686520</v>
      </c>
      <c r="H24" s="11"/>
      <c r="I24" s="11"/>
      <c r="J24" s="11"/>
      <c r="K24" s="11">
        <f t="shared" si="5"/>
        <v>1925820</v>
      </c>
      <c r="L24" s="10" t="s">
        <v>74</v>
      </c>
      <c r="M24" s="23"/>
      <c r="P24" s="51" t="s">
        <v>39</v>
      </c>
      <c r="Q24" s="67">
        <f>SUM(B24+B51++B77+B102+B127+B152+B177+B202+B227+B252+B277+B303)</f>
        <v>0</v>
      </c>
      <c r="R24" s="52">
        <f t="shared" si="6"/>
        <v>0</v>
      </c>
      <c r="S24" s="51">
        <f>SUM(C24+C51+C77+C102+C127+C152+C177+C202+C227+C252+C277+C303)</f>
        <v>0</v>
      </c>
      <c r="T24" s="52">
        <f t="shared" si="7"/>
        <v>0</v>
      </c>
      <c r="U24" s="51">
        <f>SUM(D24+D51+D77+D102+D127+D152+D177+D202+D227+D252+D277+D303)</f>
        <v>0</v>
      </c>
      <c r="V24" s="52">
        <f t="shared" si="8"/>
        <v>0</v>
      </c>
      <c r="W24" s="51">
        <f>SUM(E24+E51+E77+E102+E127+E152+E177+E202+E227+E252+E277+E303)</f>
        <v>11523155</v>
      </c>
      <c r="X24" s="52">
        <f t="shared" si="12"/>
        <v>56.08468005977224</v>
      </c>
      <c r="Y24" s="51">
        <f>SUM(F24+F51+F77+F102+F126+F151+F176+F201+F226+F251+F276+F302)</f>
        <v>0</v>
      </c>
      <c r="Z24" s="52">
        <f t="shared" si="1"/>
        <v>0</v>
      </c>
      <c r="AA24" s="51">
        <f>SUM(G24+G51+G77+G102+G127+G152+G177+G202+G227+G252+G277+G303)</f>
        <v>9022839</v>
      </c>
      <c r="AB24" s="52">
        <f t="shared" si="14"/>
        <v>43.91531994022776</v>
      </c>
      <c r="AC24" s="51">
        <f>SUM(H24+H51+H77+H102+H127+H152+H177+H202+H227+H252+H277+H303)</f>
        <v>0</v>
      </c>
      <c r="AD24" s="52">
        <f t="shared" si="9"/>
        <v>0</v>
      </c>
      <c r="AE24" s="51">
        <f>SUM(I24+I51+I77+I102+I127+I152+I177+I202+I227+I252+I277+I303)</f>
        <v>0</v>
      </c>
      <c r="AF24" s="56">
        <f t="shared" si="10"/>
        <v>0</v>
      </c>
      <c r="AG24" s="59">
        <f>SUM(J24+J51+J77+J102+J127+J152+J177+J202+J227+J252+J277+J303)</f>
        <v>0</v>
      </c>
      <c r="AH24" s="56">
        <f t="shared" si="11"/>
        <v>0</v>
      </c>
      <c r="AI24" s="53">
        <f t="shared" si="13"/>
        <v>20545994</v>
      </c>
      <c r="AJ24" s="4"/>
    </row>
    <row r="25" spans="1:36" ht="13.5" thickBot="1">
      <c r="A25" s="20" t="s">
        <v>35</v>
      </c>
      <c r="B25" s="12"/>
      <c r="C25" s="12"/>
      <c r="D25" s="70">
        <v>100</v>
      </c>
      <c r="E25" s="12">
        <v>502</v>
      </c>
      <c r="F25" s="83">
        <v>1300</v>
      </c>
      <c r="G25" s="83"/>
      <c r="H25" s="12"/>
      <c r="I25" s="12"/>
      <c r="J25" s="12"/>
      <c r="K25" s="12">
        <f>B25+C25+D25+E25+F25+G25+H25+I25+J25</f>
        <v>1902</v>
      </c>
      <c r="L25" s="84" t="s">
        <v>73</v>
      </c>
      <c r="M25" s="43"/>
      <c r="P25" s="103" t="s">
        <v>37</v>
      </c>
      <c r="Q25" s="67">
        <f>SUM(B25+B52++B78+B103+B128+B153+B178+B203+B228+B253+B278+B304)</f>
        <v>0</v>
      </c>
      <c r="R25" s="52">
        <f t="shared" si="6"/>
        <v>0</v>
      </c>
      <c r="S25" s="51">
        <f>SUM(C25+C52+C78+C103+C128+C153+C178+C203+C228+C253+C278+C304)</f>
        <v>0</v>
      </c>
      <c r="T25" s="52">
        <f t="shared" si="7"/>
        <v>0</v>
      </c>
      <c r="U25" s="51">
        <f>SUM(D25+D52+D78+D103+D128+D153+D178+D203+D228+D253+D278+D304)</f>
        <v>4404</v>
      </c>
      <c r="V25" s="52">
        <f t="shared" si="8"/>
        <v>11.57211551094411</v>
      </c>
      <c r="W25" s="51">
        <f>SUM(E25+E52+E78+E103+E128+E153+E178+E203+E228+E253+E278+E304)</f>
        <v>4980</v>
      </c>
      <c r="X25" s="52">
        <f t="shared" si="12"/>
        <v>13.085634705835982</v>
      </c>
      <c r="Y25" s="51">
        <f>SUM(F25+F52+F78+F103+F127+F152+F177+F202+F227+F252+F277+F303)</f>
        <v>12350</v>
      </c>
      <c r="Z25" s="52">
        <f t="shared" si="1"/>
        <v>32.45132301547679</v>
      </c>
      <c r="AA25" s="51">
        <f>SUM(G25+G52+G78+G103+G128+G153+G178+G203+G228+G253+G278+G304)</f>
        <v>4473</v>
      </c>
      <c r="AB25" s="52">
        <f t="shared" si="14"/>
        <v>11.753422497832199</v>
      </c>
      <c r="AC25" s="51">
        <f>SUM(H25+H52+H78+H103+H128+H153+H178+H203+H228+H253+H278+H304)</f>
        <v>0</v>
      </c>
      <c r="AD25" s="52">
        <f t="shared" si="9"/>
        <v>0</v>
      </c>
      <c r="AE25" s="60">
        <f>SUM(I25+I52+I78+I103+I128+I153+I178+I203+I228+I253+I278+I304)</f>
        <v>11850</v>
      </c>
      <c r="AF25" s="61">
        <f t="shared" si="10"/>
        <v>31.137504269910924</v>
      </c>
      <c r="AG25" s="62">
        <f>SUM(J25+J52+J78+J103+J128+J153+J178+J203+J228+J253+J278+J304)</f>
        <v>0</v>
      </c>
      <c r="AH25" s="61">
        <f t="shared" si="11"/>
        <v>0</v>
      </c>
      <c r="AI25" s="63">
        <f t="shared" si="13"/>
        <v>38057</v>
      </c>
      <c r="AJ25" s="4"/>
    </row>
    <row r="26" spans="4:36" ht="12.75">
      <c r="D26" s="82"/>
      <c r="AJ26" s="4"/>
    </row>
    <row r="27" spans="1:37" ht="12.75">
      <c r="A27" t="s">
        <v>75</v>
      </c>
      <c r="P27" t="s">
        <v>75</v>
      </c>
      <c r="AK27" s="16"/>
    </row>
    <row r="28" spans="1:37" ht="12.75">
      <c r="A28" t="s">
        <v>76</v>
      </c>
      <c r="E28" t="s">
        <v>59</v>
      </c>
      <c r="P28" t="s">
        <v>76</v>
      </c>
      <c r="T28" t="s">
        <v>59</v>
      </c>
      <c r="AK28" s="16"/>
    </row>
    <row r="29" ht="12.75">
      <c r="AK29" s="14"/>
    </row>
    <row r="30" ht="15.75" customHeight="1">
      <c r="AK30" s="14"/>
    </row>
    <row r="31" spans="1:37" ht="15.75">
      <c r="A31" s="86" t="s">
        <v>90</v>
      </c>
      <c r="AJ31" s="16"/>
      <c r="AK31" s="17"/>
    </row>
    <row r="32" spans="36:37" ht="13.5" thickBot="1">
      <c r="AJ32" s="16"/>
      <c r="AK32" s="17"/>
    </row>
    <row r="33" spans="1:37" ht="15.75">
      <c r="A33" s="8" t="s">
        <v>0</v>
      </c>
      <c r="B33" s="24" t="s">
        <v>1</v>
      </c>
      <c r="C33" s="24" t="s">
        <v>2</v>
      </c>
      <c r="D33" s="24" t="s">
        <v>3</v>
      </c>
      <c r="E33" s="24" t="s">
        <v>22</v>
      </c>
      <c r="F33" s="24" t="s">
        <v>23</v>
      </c>
      <c r="G33" s="24" t="s">
        <v>4</v>
      </c>
      <c r="H33" s="24" t="s">
        <v>5</v>
      </c>
      <c r="I33" s="24" t="s">
        <v>6</v>
      </c>
      <c r="J33" s="24" t="s">
        <v>7</v>
      </c>
      <c r="K33" s="25" t="s">
        <v>8</v>
      </c>
      <c r="L33" s="26" t="s">
        <v>9</v>
      </c>
      <c r="M33" s="22" t="s">
        <v>41</v>
      </c>
      <c r="AK33" s="17"/>
    </row>
    <row r="34" spans="1:37" ht="12.75">
      <c r="A34" s="9" t="s">
        <v>42</v>
      </c>
      <c r="B34" s="11">
        <v>3808</v>
      </c>
      <c r="C34" s="11">
        <v>673</v>
      </c>
      <c r="D34" s="11"/>
      <c r="E34" s="11">
        <v>125</v>
      </c>
      <c r="F34" s="11">
        <v>1125</v>
      </c>
      <c r="G34" s="11">
        <v>444</v>
      </c>
      <c r="H34" s="11">
        <v>1781</v>
      </c>
      <c r="I34" s="11">
        <v>132</v>
      </c>
      <c r="J34" s="11">
        <v>106</v>
      </c>
      <c r="K34" s="11">
        <f>SUM(B34:J34)</f>
        <v>8194</v>
      </c>
      <c r="L34" s="10" t="s">
        <v>10</v>
      </c>
      <c r="M34" s="23"/>
      <c r="AK34" s="17"/>
    </row>
    <row r="35" spans="1:37" ht="12.75">
      <c r="A35" s="9" t="s">
        <v>43</v>
      </c>
      <c r="B35" s="11">
        <v>1232</v>
      </c>
      <c r="C35" s="11">
        <v>421</v>
      </c>
      <c r="D35" s="11">
        <v>149</v>
      </c>
      <c r="E35" s="11">
        <v>125</v>
      </c>
      <c r="F35" s="11">
        <v>439</v>
      </c>
      <c r="G35" s="11">
        <v>146</v>
      </c>
      <c r="H35" s="11">
        <v>615</v>
      </c>
      <c r="I35" s="11">
        <v>29</v>
      </c>
      <c r="J35" s="11">
        <v>46</v>
      </c>
      <c r="K35" s="11">
        <f aca="true" t="shared" si="15" ref="K35:K50">SUM(B35:J35)</f>
        <v>3202</v>
      </c>
      <c r="L35" s="10" t="s">
        <v>10</v>
      </c>
      <c r="M35" s="23">
        <f>+K35*205</f>
        <v>656410</v>
      </c>
      <c r="O35" s="16"/>
      <c r="P35" s="16"/>
      <c r="Q35" s="16"/>
      <c r="V35" s="4"/>
      <c r="AK35" s="17"/>
    </row>
    <row r="36" spans="1:22" ht="15">
      <c r="A36" s="9" t="s">
        <v>44</v>
      </c>
      <c r="B36" s="11">
        <v>2429</v>
      </c>
      <c r="C36" s="11">
        <v>11322</v>
      </c>
      <c r="D36" s="11"/>
      <c r="E36" s="11">
        <v>1045</v>
      </c>
      <c r="F36" s="11">
        <v>871</v>
      </c>
      <c r="G36" s="11">
        <v>473</v>
      </c>
      <c r="H36" s="11">
        <v>362</v>
      </c>
      <c r="I36" s="11">
        <v>701</v>
      </c>
      <c r="J36" s="11">
        <v>1037</v>
      </c>
      <c r="K36" s="11">
        <f t="shared" si="15"/>
        <v>18240</v>
      </c>
      <c r="L36" s="10" t="s">
        <v>10</v>
      </c>
      <c r="M36" s="23"/>
      <c r="O36" s="16"/>
      <c r="P36" s="3"/>
      <c r="Q36" s="15"/>
      <c r="R36" s="16"/>
      <c r="S36" s="16"/>
      <c r="T36" s="16"/>
      <c r="U36" s="16"/>
      <c r="V36" s="16"/>
    </row>
    <row r="37" spans="1:33" ht="15">
      <c r="A37" s="9" t="s">
        <v>45</v>
      </c>
      <c r="B37" s="11">
        <v>2236</v>
      </c>
      <c r="C37" s="11">
        <v>11307</v>
      </c>
      <c r="D37" s="11"/>
      <c r="E37" s="11">
        <v>1045</v>
      </c>
      <c r="F37" s="11">
        <v>847</v>
      </c>
      <c r="G37" s="11">
        <v>223</v>
      </c>
      <c r="H37" s="11">
        <v>332</v>
      </c>
      <c r="I37" s="11">
        <v>4</v>
      </c>
      <c r="J37" s="11">
        <v>984</v>
      </c>
      <c r="K37" s="11">
        <f t="shared" si="15"/>
        <v>16978</v>
      </c>
      <c r="L37" s="10" t="s">
        <v>10</v>
      </c>
      <c r="M37" s="23">
        <f>+K37*50</f>
        <v>848900</v>
      </c>
      <c r="O37" s="3"/>
      <c r="P37" s="4"/>
      <c r="Q37" s="4"/>
      <c r="R37" s="3"/>
      <c r="S37" s="15"/>
      <c r="T37" s="3"/>
      <c r="U37" s="15"/>
      <c r="V37" s="3"/>
      <c r="W37" s="15"/>
      <c r="X37" s="3"/>
      <c r="Y37" s="15"/>
      <c r="Z37" s="3"/>
      <c r="AA37" s="15"/>
      <c r="AB37" s="3"/>
      <c r="AC37" s="15"/>
      <c r="AD37" s="3"/>
      <c r="AE37" s="15"/>
      <c r="AF37" s="3"/>
      <c r="AG37" s="15"/>
    </row>
    <row r="38" spans="1:33" ht="15">
      <c r="A38" s="9" t="s">
        <v>46</v>
      </c>
      <c r="B38" s="11">
        <v>6515</v>
      </c>
      <c r="C38" s="11">
        <v>345</v>
      </c>
      <c r="D38" s="11">
        <v>56</v>
      </c>
      <c r="E38" s="11">
        <v>33</v>
      </c>
      <c r="F38" s="11"/>
      <c r="G38" s="11"/>
      <c r="H38" s="11">
        <v>1000</v>
      </c>
      <c r="I38" s="11">
        <v>1380</v>
      </c>
      <c r="J38" s="11"/>
      <c r="K38" s="11">
        <f t="shared" si="15"/>
        <v>9329</v>
      </c>
      <c r="L38" s="10" t="s">
        <v>10</v>
      </c>
      <c r="M38" s="23"/>
      <c r="O38" s="3"/>
      <c r="P38" s="15"/>
      <c r="Q38" s="3"/>
      <c r="R38" s="4"/>
      <c r="S38" s="4"/>
      <c r="T38" s="4"/>
      <c r="U38" s="4"/>
      <c r="V38" s="16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2" ht="15">
      <c r="A39" s="9" t="s">
        <v>47</v>
      </c>
      <c r="B39" s="11">
        <v>6515</v>
      </c>
      <c r="C39" s="36">
        <v>345</v>
      </c>
      <c r="D39" s="11">
        <v>56</v>
      </c>
      <c r="E39" s="11">
        <v>33</v>
      </c>
      <c r="F39" s="11"/>
      <c r="G39" s="11"/>
      <c r="H39" s="11">
        <v>1000</v>
      </c>
      <c r="I39" s="11">
        <v>1380</v>
      </c>
      <c r="J39" s="11"/>
      <c r="K39" s="11">
        <f t="shared" si="15"/>
        <v>9329</v>
      </c>
      <c r="L39" s="10" t="s">
        <v>10</v>
      </c>
      <c r="M39" s="23">
        <f>+K39*11</f>
        <v>102619</v>
      </c>
      <c r="O39" s="4"/>
      <c r="P39" s="4"/>
      <c r="Q39" s="4"/>
      <c r="R39" s="15"/>
      <c r="S39" s="3"/>
      <c r="T39" s="15"/>
      <c r="U39" s="3"/>
      <c r="V39" s="15"/>
      <c r="W39" s="3"/>
      <c r="X39" s="15"/>
      <c r="Y39" s="3"/>
      <c r="Z39" s="15"/>
      <c r="AA39" s="3"/>
      <c r="AB39" s="16"/>
      <c r="AC39" s="16"/>
      <c r="AD39" s="15"/>
      <c r="AE39" s="3"/>
      <c r="AF39" s="15"/>
    </row>
    <row r="40" spans="1:32" ht="12.75">
      <c r="A40" s="9" t="s">
        <v>48</v>
      </c>
      <c r="B40" s="11">
        <v>499</v>
      </c>
      <c r="C40" s="11">
        <v>170</v>
      </c>
      <c r="D40" s="11">
        <v>102</v>
      </c>
      <c r="E40" s="11">
        <v>70</v>
      </c>
      <c r="F40" s="11"/>
      <c r="G40" s="11">
        <v>95</v>
      </c>
      <c r="H40" s="11">
        <v>220</v>
      </c>
      <c r="I40" s="11">
        <v>200</v>
      </c>
      <c r="J40" s="11"/>
      <c r="K40" s="11">
        <f t="shared" si="15"/>
        <v>1356</v>
      </c>
      <c r="L40" s="10" t="s">
        <v>10</v>
      </c>
      <c r="M40" s="23"/>
      <c r="O40" s="16"/>
      <c r="P40" s="16"/>
      <c r="Q40" s="16"/>
      <c r="R40" s="4"/>
      <c r="S40" s="4"/>
      <c r="T40" s="4"/>
      <c r="U40" s="4"/>
      <c r="V40" s="4"/>
      <c r="W40" s="4"/>
      <c r="X40" s="4"/>
      <c r="Y40" s="4"/>
      <c r="Z40" s="4"/>
      <c r="AA40" s="4"/>
      <c r="AB40" s="13"/>
      <c r="AC40" s="14"/>
      <c r="AD40" s="4"/>
      <c r="AE40" s="4"/>
      <c r="AF40" s="4"/>
    </row>
    <row r="41" spans="1:29" ht="12.75">
      <c r="A41" s="9" t="s">
        <v>49</v>
      </c>
      <c r="B41" s="11">
        <v>499</v>
      </c>
      <c r="C41" s="11">
        <v>170</v>
      </c>
      <c r="D41" s="11">
        <v>102</v>
      </c>
      <c r="E41" s="11">
        <v>70</v>
      </c>
      <c r="F41" s="11"/>
      <c r="G41" s="11"/>
      <c r="H41" s="11">
        <v>220</v>
      </c>
      <c r="I41" s="11">
        <v>200</v>
      </c>
      <c r="J41" s="11"/>
      <c r="K41" s="11">
        <f t="shared" si="15"/>
        <v>1261</v>
      </c>
      <c r="L41" s="10" t="s">
        <v>10</v>
      </c>
      <c r="M41" s="23">
        <f>+K41*12</f>
        <v>15132</v>
      </c>
      <c r="R41" s="16"/>
      <c r="S41" s="16"/>
      <c r="T41" s="16"/>
      <c r="U41" s="16"/>
      <c r="V41" s="16"/>
      <c r="AB41" s="13"/>
      <c r="AC41" s="14"/>
    </row>
    <row r="42" spans="1:29" ht="12.75">
      <c r="A42" s="18" t="s">
        <v>63</v>
      </c>
      <c r="B42" s="11"/>
      <c r="C42" s="11"/>
      <c r="D42" s="11"/>
      <c r="E42" s="11"/>
      <c r="F42" s="11"/>
      <c r="G42" s="11"/>
      <c r="H42" s="11">
        <v>6</v>
      </c>
      <c r="I42" s="11"/>
      <c r="J42" s="11"/>
      <c r="K42" s="11">
        <f>SUM(B42:J42)</f>
        <v>6</v>
      </c>
      <c r="L42" s="10" t="s">
        <v>10</v>
      </c>
      <c r="M42" s="23">
        <f>+K42*12</f>
        <v>72</v>
      </c>
      <c r="AB42" s="16"/>
      <c r="AC42" s="17"/>
    </row>
    <row r="43" spans="1:29" ht="12.75">
      <c r="A43" s="18" t="s">
        <v>63</v>
      </c>
      <c r="B43" s="11"/>
      <c r="C43" s="11"/>
      <c r="D43" s="11"/>
      <c r="E43" s="11"/>
      <c r="F43" s="11"/>
      <c r="G43" s="11"/>
      <c r="H43" s="11">
        <v>6</v>
      </c>
      <c r="I43" s="11"/>
      <c r="J43" s="11"/>
      <c r="K43" s="11">
        <f>SUM(B43:J43)</f>
        <v>6</v>
      </c>
      <c r="L43" s="10" t="s">
        <v>10</v>
      </c>
      <c r="M43" s="23">
        <f>+K43*12</f>
        <v>72</v>
      </c>
      <c r="AB43" s="16"/>
      <c r="AC43" s="17"/>
    </row>
    <row r="44" spans="1:29" ht="12.75">
      <c r="A44" s="9" t="s">
        <v>27</v>
      </c>
      <c r="B44" s="11"/>
      <c r="C44" s="11"/>
      <c r="D44" s="11"/>
      <c r="E44" s="11"/>
      <c r="F44" s="11"/>
      <c r="G44" s="11">
        <v>340</v>
      </c>
      <c r="H44" s="11"/>
      <c r="I44" s="11">
        <v>190</v>
      </c>
      <c r="J44" s="11">
        <v>137</v>
      </c>
      <c r="K44" s="11">
        <f t="shared" si="15"/>
        <v>667</v>
      </c>
      <c r="L44" s="10" t="s">
        <v>10</v>
      </c>
      <c r="M44" s="23"/>
      <c r="AB44" s="16"/>
      <c r="AC44" s="17"/>
    </row>
    <row r="45" spans="1:29" ht="12.75">
      <c r="A45" s="9" t="s">
        <v>28</v>
      </c>
      <c r="B45" s="11"/>
      <c r="C45" s="11"/>
      <c r="D45" s="11"/>
      <c r="E45" s="11"/>
      <c r="F45" s="11"/>
      <c r="G45" s="11">
        <v>510</v>
      </c>
      <c r="H45" s="11"/>
      <c r="I45" s="11">
        <v>372</v>
      </c>
      <c r="J45" s="11">
        <v>207</v>
      </c>
      <c r="K45" s="11">
        <f t="shared" si="15"/>
        <v>1089</v>
      </c>
      <c r="L45" s="10" t="s">
        <v>33</v>
      </c>
      <c r="M45" s="23">
        <f>+K45</f>
        <v>1089</v>
      </c>
      <c r="AB45" s="16"/>
      <c r="AC45" s="17"/>
    </row>
    <row r="46" spans="1:29" ht="12.75">
      <c r="A46" s="9" t="s">
        <v>31</v>
      </c>
      <c r="B46" s="11">
        <v>43007</v>
      </c>
      <c r="C46" s="11">
        <v>56025</v>
      </c>
      <c r="D46" s="11"/>
      <c r="E46" s="11"/>
      <c r="F46" s="11">
        <f>564405+116800</f>
        <v>681205</v>
      </c>
      <c r="G46" s="11">
        <v>415700</v>
      </c>
      <c r="H46" s="11"/>
      <c r="I46" s="11">
        <v>1161924</v>
      </c>
      <c r="J46" s="11"/>
      <c r="K46" s="11">
        <f t="shared" si="15"/>
        <v>2357861</v>
      </c>
      <c r="L46" s="10" t="s">
        <v>10</v>
      </c>
      <c r="M46" s="23">
        <f>+K46*1.5</f>
        <v>3536791.5</v>
      </c>
      <c r="AB46" s="16"/>
      <c r="AC46" s="17"/>
    </row>
    <row r="47" spans="1:29" ht="12.75">
      <c r="A47" s="9" t="s">
        <v>32</v>
      </c>
      <c r="B47" s="11">
        <v>1200</v>
      </c>
      <c r="C47" s="11">
        <v>44396</v>
      </c>
      <c r="D47" s="11"/>
      <c r="E47" s="11"/>
      <c r="F47" s="11"/>
      <c r="G47" s="11">
        <v>6747</v>
      </c>
      <c r="H47" s="11"/>
      <c r="I47" s="11">
        <v>500</v>
      </c>
      <c r="J47" s="11"/>
      <c r="K47" s="11">
        <f t="shared" si="15"/>
        <v>52843</v>
      </c>
      <c r="L47" s="10" t="s">
        <v>10</v>
      </c>
      <c r="M47" s="23">
        <f>+K47*2</f>
        <v>105686</v>
      </c>
      <c r="AB47" s="16"/>
      <c r="AC47" s="17"/>
    </row>
    <row r="48" spans="1:29" ht="12.75">
      <c r="A48" s="9" t="s">
        <v>29</v>
      </c>
      <c r="B48" s="11">
        <v>3360364</v>
      </c>
      <c r="C48" s="64">
        <v>1209112</v>
      </c>
      <c r="D48" s="11">
        <v>1077720</v>
      </c>
      <c r="E48" s="64">
        <v>64260</v>
      </c>
      <c r="F48" s="11">
        <v>840000</v>
      </c>
      <c r="G48" s="11">
        <v>311050</v>
      </c>
      <c r="H48" s="11">
        <v>814619</v>
      </c>
      <c r="I48" s="11">
        <v>121220</v>
      </c>
      <c r="J48" s="11"/>
      <c r="K48" s="11">
        <f t="shared" si="15"/>
        <v>7798345</v>
      </c>
      <c r="L48" s="10" t="s">
        <v>12</v>
      </c>
      <c r="M48" s="23"/>
      <c r="AB48" s="16"/>
      <c r="AC48" s="17"/>
    </row>
    <row r="49" spans="1:29" ht="12.75">
      <c r="A49" s="9" t="s">
        <v>30</v>
      </c>
      <c r="B49" s="64">
        <v>389993</v>
      </c>
      <c r="C49" s="11"/>
      <c r="D49" s="11"/>
      <c r="E49" s="64">
        <v>421</v>
      </c>
      <c r="F49" s="64">
        <v>21573</v>
      </c>
      <c r="G49" s="68">
        <v>14350</v>
      </c>
      <c r="H49" s="11">
        <v>83703</v>
      </c>
      <c r="I49" s="64">
        <v>4750</v>
      </c>
      <c r="J49" s="11"/>
      <c r="K49" s="11">
        <f t="shared" si="15"/>
        <v>514790</v>
      </c>
      <c r="L49" s="10" t="s">
        <v>11</v>
      </c>
      <c r="M49" s="23"/>
      <c r="AB49" s="16"/>
      <c r="AC49" s="17"/>
    </row>
    <row r="50" spans="1:29" ht="12.75">
      <c r="A50" s="9" t="s">
        <v>38</v>
      </c>
      <c r="B50" s="64">
        <v>1397414</v>
      </c>
      <c r="C50" s="69">
        <v>20943720</v>
      </c>
      <c r="D50" s="11"/>
      <c r="E50" s="11">
        <v>25218</v>
      </c>
      <c r="F50" s="11">
        <v>453600</v>
      </c>
      <c r="G50" s="11">
        <v>267000</v>
      </c>
      <c r="H50" s="11"/>
      <c r="I50" s="11">
        <v>1350000</v>
      </c>
      <c r="J50" s="11"/>
      <c r="K50" s="11">
        <f t="shared" si="15"/>
        <v>24436952</v>
      </c>
      <c r="L50" s="10" t="s">
        <v>24</v>
      </c>
      <c r="M50" s="23"/>
      <c r="AB50" s="16"/>
      <c r="AC50" s="17"/>
    </row>
    <row r="51" spans="1:13" ht="12.75">
      <c r="A51" s="18" t="s">
        <v>60</v>
      </c>
      <c r="B51" s="11"/>
      <c r="C51" s="11"/>
      <c r="D51" s="11"/>
      <c r="E51" s="11">
        <v>923975</v>
      </c>
      <c r="F51" s="11"/>
      <c r="G51" s="11">
        <v>695520</v>
      </c>
      <c r="H51" s="11"/>
      <c r="I51" s="11"/>
      <c r="J51" s="11"/>
      <c r="K51" s="19">
        <f>SUM(B51:J51)</f>
        <v>1619495</v>
      </c>
      <c r="L51" s="21"/>
      <c r="M51" s="23"/>
    </row>
    <row r="52" spans="1:13" ht="13.5" thickBot="1">
      <c r="A52" s="20" t="s">
        <v>35</v>
      </c>
      <c r="B52" s="12"/>
      <c r="C52" s="12"/>
      <c r="D52" s="12">
        <v>250</v>
      </c>
      <c r="E52" s="12">
        <v>578</v>
      </c>
      <c r="F52" s="12">
        <v>1800</v>
      </c>
      <c r="G52" s="12"/>
      <c r="H52" s="12"/>
      <c r="I52" s="12"/>
      <c r="J52" s="12"/>
      <c r="K52" s="12">
        <f>SUM(B52:J52)</f>
        <v>2628</v>
      </c>
      <c r="L52" s="45" t="s">
        <v>11</v>
      </c>
      <c r="M52" s="43"/>
    </row>
    <row r="53" spans="1:16" ht="12.75">
      <c r="A53" s="13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13"/>
      <c r="M53" s="16"/>
      <c r="O53" s="16"/>
      <c r="P53" s="16"/>
    </row>
    <row r="54" spans="1:16" ht="12.75">
      <c r="A54" t="s">
        <v>75</v>
      </c>
      <c r="J54" s="37"/>
      <c r="K54" s="37"/>
      <c r="L54" s="16"/>
      <c r="M54" s="16"/>
      <c r="O54" s="13"/>
      <c r="P54" s="14"/>
    </row>
    <row r="55" spans="1:16" ht="12.75">
      <c r="A55" t="s">
        <v>76</v>
      </c>
      <c r="E55" t="s">
        <v>59</v>
      </c>
      <c r="O55" s="13"/>
      <c r="P55" s="14"/>
    </row>
    <row r="56" spans="15:16" ht="12.75">
      <c r="O56" s="16"/>
      <c r="P56" s="17"/>
    </row>
    <row r="57" spans="1:6" ht="15.75" customHeight="1">
      <c r="A57" s="86" t="s">
        <v>77</v>
      </c>
      <c r="F57" s="2"/>
    </row>
    <row r="58" ht="13.5" thickBot="1"/>
    <row r="59" spans="1:13" ht="15.75">
      <c r="A59" s="8" t="s">
        <v>0</v>
      </c>
      <c r="B59" s="24" t="s">
        <v>1</v>
      </c>
      <c r="C59" s="24" t="s">
        <v>2</v>
      </c>
      <c r="D59" s="24" t="s">
        <v>3</v>
      </c>
      <c r="E59" s="24" t="s">
        <v>22</v>
      </c>
      <c r="F59" s="24" t="s">
        <v>23</v>
      </c>
      <c r="G59" s="24" t="s">
        <v>4</v>
      </c>
      <c r="H59" s="24" t="s">
        <v>5</v>
      </c>
      <c r="I59" s="24" t="s">
        <v>6</v>
      </c>
      <c r="J59" s="24" t="s">
        <v>7</v>
      </c>
      <c r="K59" s="25" t="s">
        <v>8</v>
      </c>
      <c r="L59" s="26" t="s">
        <v>9</v>
      </c>
      <c r="M59" s="22" t="s">
        <v>41</v>
      </c>
    </row>
    <row r="60" spans="1:13" ht="12.75">
      <c r="A60" s="9" t="s">
        <v>42</v>
      </c>
      <c r="B60" s="11">
        <v>3127</v>
      </c>
      <c r="C60" s="11">
        <v>574</v>
      </c>
      <c r="D60" s="11">
        <v>106</v>
      </c>
      <c r="E60" s="11"/>
      <c r="F60" s="11">
        <f>663+357</f>
        <v>1020</v>
      </c>
      <c r="G60" s="11">
        <v>1073</v>
      </c>
      <c r="H60" s="11">
        <v>1085</v>
      </c>
      <c r="I60" s="11">
        <v>107</v>
      </c>
      <c r="J60" s="11">
        <v>137</v>
      </c>
      <c r="K60" s="11">
        <f aca="true" t="shared" si="16" ref="K60:K76">SUM(B60:J60)</f>
        <v>7229</v>
      </c>
      <c r="L60" s="10" t="s">
        <v>10</v>
      </c>
      <c r="M60" s="23"/>
    </row>
    <row r="61" spans="1:13" ht="12.75">
      <c r="A61" s="9" t="s">
        <v>43</v>
      </c>
      <c r="B61" s="11">
        <v>924</v>
      </c>
      <c r="C61" s="11">
        <v>473</v>
      </c>
      <c r="D61" s="11">
        <v>88</v>
      </c>
      <c r="E61" s="11"/>
      <c r="F61" s="11">
        <f>359+81</f>
        <v>440</v>
      </c>
      <c r="G61" s="11">
        <v>167</v>
      </c>
      <c r="H61" s="11">
        <v>475</v>
      </c>
      <c r="I61" s="11">
        <v>52</v>
      </c>
      <c r="J61" s="11">
        <v>113</v>
      </c>
      <c r="K61" s="11">
        <f t="shared" si="16"/>
        <v>2732</v>
      </c>
      <c r="L61" s="10" t="s">
        <v>10</v>
      </c>
      <c r="M61" s="23">
        <f>+K61*205</f>
        <v>560060</v>
      </c>
    </row>
    <row r="62" spans="1:13" ht="12.75">
      <c r="A62" s="9" t="s">
        <v>44</v>
      </c>
      <c r="B62" s="11">
        <v>2747</v>
      </c>
      <c r="C62" s="11">
        <v>9716</v>
      </c>
      <c r="D62" s="11">
        <v>89</v>
      </c>
      <c r="E62" s="11"/>
      <c r="F62" s="11">
        <v>1302</v>
      </c>
      <c r="G62" s="11">
        <v>207</v>
      </c>
      <c r="H62" s="11">
        <v>519</v>
      </c>
      <c r="I62" s="11">
        <v>926</v>
      </c>
      <c r="J62" s="11">
        <v>1446</v>
      </c>
      <c r="K62" s="11">
        <f t="shared" si="16"/>
        <v>16952</v>
      </c>
      <c r="L62" s="10" t="s">
        <v>10</v>
      </c>
      <c r="M62" s="23"/>
    </row>
    <row r="63" spans="1:13" ht="12.75">
      <c r="A63" s="9" t="s">
        <v>45</v>
      </c>
      <c r="B63" s="11">
        <v>2662</v>
      </c>
      <c r="C63" s="11">
        <v>9681</v>
      </c>
      <c r="D63" s="11">
        <v>89</v>
      </c>
      <c r="E63" s="11">
        <v>430</v>
      </c>
      <c r="F63" s="11">
        <v>1283</v>
      </c>
      <c r="G63" s="11">
        <v>207</v>
      </c>
      <c r="H63" s="11">
        <v>519</v>
      </c>
      <c r="I63" s="11">
        <v>895</v>
      </c>
      <c r="J63" s="11">
        <v>1252</v>
      </c>
      <c r="K63" s="11">
        <f t="shared" si="16"/>
        <v>17018</v>
      </c>
      <c r="L63" s="10" t="s">
        <v>10</v>
      </c>
      <c r="M63" s="23">
        <f>+K63*50</f>
        <v>850900</v>
      </c>
    </row>
    <row r="64" spans="1:13" ht="12.75">
      <c r="A64" s="9" t="s">
        <v>46</v>
      </c>
      <c r="B64" s="11">
        <v>5928</v>
      </c>
      <c r="C64" s="11">
        <v>292</v>
      </c>
      <c r="D64" s="11">
        <v>108</v>
      </c>
      <c r="E64" s="11"/>
      <c r="F64" s="11">
        <v>2</v>
      </c>
      <c r="G64" s="11">
        <v>18</v>
      </c>
      <c r="H64" s="11">
        <v>1432</v>
      </c>
      <c r="I64" s="11">
        <v>1281</v>
      </c>
      <c r="J64" s="11"/>
      <c r="K64" s="11">
        <f t="shared" si="16"/>
        <v>9061</v>
      </c>
      <c r="L64" s="10" t="s">
        <v>10</v>
      </c>
      <c r="M64" s="23"/>
    </row>
    <row r="65" spans="1:13" ht="12.75">
      <c r="A65" s="9" t="s">
        <v>47</v>
      </c>
      <c r="B65" s="11">
        <v>5928</v>
      </c>
      <c r="C65" s="36">
        <v>292</v>
      </c>
      <c r="D65" s="11">
        <v>108</v>
      </c>
      <c r="E65" s="11">
        <v>15</v>
      </c>
      <c r="F65" s="11">
        <v>2</v>
      </c>
      <c r="G65" s="11"/>
      <c r="H65" s="11">
        <v>1432</v>
      </c>
      <c r="I65" s="11">
        <v>1280</v>
      </c>
      <c r="J65" s="11"/>
      <c r="K65" s="11">
        <f t="shared" si="16"/>
        <v>9057</v>
      </c>
      <c r="L65" s="10" t="s">
        <v>10</v>
      </c>
      <c r="M65" s="23">
        <f>+K65*11</f>
        <v>99627</v>
      </c>
    </row>
    <row r="66" spans="1:13" ht="12.75">
      <c r="A66" s="9" t="s">
        <v>48</v>
      </c>
      <c r="B66" s="11">
        <v>885</v>
      </c>
      <c r="C66" s="11">
        <v>56</v>
      </c>
      <c r="D66" s="11">
        <v>64</v>
      </c>
      <c r="E66" s="11"/>
      <c r="F66" s="11"/>
      <c r="G66" s="11"/>
      <c r="H66" s="11">
        <v>710</v>
      </c>
      <c r="I66" s="11">
        <v>360</v>
      </c>
      <c r="J66" s="11">
        <v>30</v>
      </c>
      <c r="K66" s="11">
        <f t="shared" si="16"/>
        <v>2105</v>
      </c>
      <c r="L66" s="10" t="s">
        <v>10</v>
      </c>
      <c r="M66" s="23"/>
    </row>
    <row r="67" spans="1:13" ht="12.75">
      <c r="A67" s="9" t="s">
        <v>49</v>
      </c>
      <c r="B67" s="11">
        <v>884</v>
      </c>
      <c r="C67" s="11">
        <v>56</v>
      </c>
      <c r="D67" s="11">
        <v>64</v>
      </c>
      <c r="E67" s="11">
        <v>30</v>
      </c>
      <c r="F67" s="11"/>
      <c r="G67" s="11"/>
      <c r="H67" s="11">
        <v>710</v>
      </c>
      <c r="I67" s="11">
        <v>360</v>
      </c>
      <c r="J67" s="11">
        <v>30</v>
      </c>
      <c r="K67" s="11">
        <f t="shared" si="16"/>
        <v>2134</v>
      </c>
      <c r="L67" s="10" t="s">
        <v>10</v>
      </c>
      <c r="M67" s="23">
        <f>+K67*12</f>
        <v>25608</v>
      </c>
    </row>
    <row r="68" spans="1:13" ht="12.75">
      <c r="A68" s="18" t="s">
        <v>63</v>
      </c>
      <c r="B68" s="11"/>
      <c r="C68" s="11"/>
      <c r="D68" s="11"/>
      <c r="E68" s="11"/>
      <c r="F68" s="11"/>
      <c r="G68" s="11"/>
      <c r="H68" s="11"/>
      <c r="I68" s="11"/>
      <c r="J68" s="11"/>
      <c r="K68" s="11">
        <f t="shared" si="16"/>
        <v>0</v>
      </c>
      <c r="L68" s="10" t="s">
        <v>10</v>
      </c>
      <c r="M68" s="23">
        <f>+K68*12</f>
        <v>0</v>
      </c>
    </row>
    <row r="69" spans="1:13" ht="12.75">
      <c r="A69" s="18" t="s">
        <v>63</v>
      </c>
      <c r="B69" s="11"/>
      <c r="C69" s="11"/>
      <c r="D69" s="11"/>
      <c r="E69" s="11"/>
      <c r="F69" s="11"/>
      <c r="G69" s="11"/>
      <c r="H69" s="11"/>
      <c r="I69" s="11"/>
      <c r="J69" s="11"/>
      <c r="K69" s="11">
        <f t="shared" si="16"/>
        <v>0</v>
      </c>
      <c r="L69" s="10" t="s">
        <v>10</v>
      </c>
      <c r="M69" s="23">
        <f>+K69*12</f>
        <v>0</v>
      </c>
    </row>
    <row r="70" spans="1:13" ht="12.75">
      <c r="A70" s="9" t="s">
        <v>27</v>
      </c>
      <c r="B70" s="11"/>
      <c r="C70" s="11"/>
      <c r="D70" s="11"/>
      <c r="E70" s="11"/>
      <c r="F70" s="11"/>
      <c r="G70" s="11">
        <v>330</v>
      </c>
      <c r="H70" s="11"/>
      <c r="I70" s="11">
        <v>405</v>
      </c>
      <c r="J70" s="11">
        <v>134</v>
      </c>
      <c r="K70" s="11">
        <f t="shared" si="16"/>
        <v>869</v>
      </c>
      <c r="L70" s="10" t="s">
        <v>10</v>
      </c>
      <c r="M70" s="23"/>
    </row>
    <row r="71" spans="1:13" ht="12.75">
      <c r="A71" s="9" t="s">
        <v>28</v>
      </c>
      <c r="B71" s="11"/>
      <c r="C71" s="11"/>
      <c r="D71" s="11"/>
      <c r="E71" s="11"/>
      <c r="F71" s="11"/>
      <c r="G71" s="11">
        <v>496</v>
      </c>
      <c r="H71" s="11"/>
      <c r="I71" s="11">
        <v>702</v>
      </c>
      <c r="J71" s="11">
        <v>241</v>
      </c>
      <c r="K71" s="11">
        <f t="shared" si="16"/>
        <v>1439</v>
      </c>
      <c r="L71" s="10" t="s">
        <v>33</v>
      </c>
      <c r="M71" s="23">
        <f>+K71</f>
        <v>1439</v>
      </c>
    </row>
    <row r="72" spans="1:13" ht="12.75">
      <c r="A72" s="9" t="s">
        <v>31</v>
      </c>
      <c r="B72" s="11">
        <v>47500</v>
      </c>
      <c r="C72" s="11">
        <v>172189</v>
      </c>
      <c r="D72" s="11">
        <v>28000</v>
      </c>
      <c r="E72" s="11"/>
      <c r="F72" s="11">
        <f>791819+748011</f>
        <v>1539830</v>
      </c>
      <c r="G72" s="11"/>
      <c r="H72" s="11"/>
      <c r="I72" s="11">
        <v>2128550</v>
      </c>
      <c r="J72" s="11"/>
      <c r="K72" s="11">
        <f t="shared" si="16"/>
        <v>3916069</v>
      </c>
      <c r="L72" s="10" t="s">
        <v>10</v>
      </c>
      <c r="M72" s="23">
        <f>+K72*1.5</f>
        <v>5874103.5</v>
      </c>
    </row>
    <row r="73" spans="1:13" ht="12.75">
      <c r="A73" s="9" t="s">
        <v>32</v>
      </c>
      <c r="B73" s="11">
        <v>6800</v>
      </c>
      <c r="C73" s="11">
        <v>10380</v>
      </c>
      <c r="D73" s="11"/>
      <c r="E73" s="11"/>
      <c r="F73" s="11"/>
      <c r="G73" s="11">
        <v>2800</v>
      </c>
      <c r="H73" s="11"/>
      <c r="I73" s="11">
        <v>31262</v>
      </c>
      <c r="J73" s="11"/>
      <c r="K73" s="11">
        <f t="shared" si="16"/>
        <v>51242</v>
      </c>
      <c r="L73" s="10" t="s">
        <v>10</v>
      </c>
      <c r="M73" s="23">
        <f>+K73*2</f>
        <v>102484</v>
      </c>
    </row>
    <row r="74" spans="1:13" ht="12.75">
      <c r="A74" s="9" t="s">
        <v>29</v>
      </c>
      <c r="B74" s="11">
        <v>3267444</v>
      </c>
      <c r="C74" s="11">
        <v>1338659</v>
      </c>
      <c r="D74" s="11">
        <v>1077720</v>
      </c>
      <c r="E74" s="11">
        <v>110646</v>
      </c>
      <c r="F74" s="11">
        <v>745000</v>
      </c>
      <c r="G74" s="11">
        <v>369000</v>
      </c>
      <c r="H74" s="11">
        <v>870800</v>
      </c>
      <c r="I74" s="11">
        <v>116600</v>
      </c>
      <c r="J74" s="11"/>
      <c r="K74" s="11">
        <f t="shared" si="16"/>
        <v>7895869</v>
      </c>
      <c r="L74" s="10" t="s">
        <v>12</v>
      </c>
      <c r="M74" s="23"/>
    </row>
    <row r="75" spans="1:13" ht="12.75">
      <c r="A75" s="9" t="s">
        <v>30</v>
      </c>
      <c r="B75" s="11">
        <v>302172</v>
      </c>
      <c r="C75" s="11"/>
      <c r="D75" s="11"/>
      <c r="E75" s="11">
        <v>650</v>
      </c>
      <c r="F75" s="11">
        <v>19091</v>
      </c>
      <c r="G75" s="11">
        <v>12660</v>
      </c>
      <c r="H75" s="11">
        <v>89485</v>
      </c>
      <c r="I75" s="11">
        <v>4600</v>
      </c>
      <c r="J75" s="11"/>
      <c r="K75" s="47">
        <f t="shared" si="16"/>
        <v>428658</v>
      </c>
      <c r="L75" s="10" t="s">
        <v>11</v>
      </c>
      <c r="M75" s="23"/>
    </row>
    <row r="76" spans="1:13" ht="12.75">
      <c r="A76" s="9" t="s">
        <v>38</v>
      </c>
      <c r="B76" s="11">
        <v>1976444</v>
      </c>
      <c r="C76" s="11">
        <v>28555560</v>
      </c>
      <c r="D76" s="11"/>
      <c r="E76" s="11">
        <v>25218</v>
      </c>
      <c r="F76" s="11">
        <v>486000</v>
      </c>
      <c r="G76" s="11">
        <v>324800</v>
      </c>
      <c r="H76" s="11"/>
      <c r="I76" s="11">
        <v>1346000</v>
      </c>
      <c r="J76" s="11"/>
      <c r="K76" s="11">
        <f t="shared" si="16"/>
        <v>32714022</v>
      </c>
      <c r="L76" s="10" t="s">
        <v>24</v>
      </c>
      <c r="M76" s="23"/>
    </row>
    <row r="77" spans="1:13" ht="12.75">
      <c r="A77" s="18" t="s">
        <v>60</v>
      </c>
      <c r="B77" s="11"/>
      <c r="C77" s="11"/>
      <c r="D77" s="11"/>
      <c r="E77" s="11">
        <v>422758</v>
      </c>
      <c r="F77" s="11"/>
      <c r="G77" s="11">
        <v>710280</v>
      </c>
      <c r="H77" s="11"/>
      <c r="I77" s="11"/>
      <c r="J77" s="11"/>
      <c r="K77" s="19">
        <f>SUM(B77:J77)</f>
        <v>1133038</v>
      </c>
      <c r="L77" s="21"/>
      <c r="M77" s="23"/>
    </row>
    <row r="78" spans="1:13" ht="13.5" thickBot="1">
      <c r="A78" s="20" t="s">
        <v>35</v>
      </c>
      <c r="B78" s="12"/>
      <c r="C78" s="12"/>
      <c r="D78" s="12">
        <v>375</v>
      </c>
      <c r="E78" s="12">
        <v>579</v>
      </c>
      <c r="F78" s="12">
        <v>1900</v>
      </c>
      <c r="G78" s="12">
        <v>670</v>
      </c>
      <c r="H78" s="12"/>
      <c r="I78" s="12"/>
      <c r="J78" s="12"/>
      <c r="K78" s="44">
        <f>B78+C78+D78+E78+F78+G78+H78+I78+J78</f>
        <v>3524</v>
      </c>
      <c r="L78" s="42"/>
      <c r="M78" s="43"/>
    </row>
    <row r="79" ht="12.75">
      <c r="A79" t="s">
        <v>75</v>
      </c>
    </row>
    <row r="80" spans="1:5" ht="12.75">
      <c r="A80" t="s">
        <v>76</v>
      </c>
      <c r="E80" t="s">
        <v>59</v>
      </c>
    </row>
    <row r="82" ht="15.75">
      <c r="A82" s="86" t="s">
        <v>78</v>
      </c>
    </row>
    <row r="83" ht="13.5" thickBot="1"/>
    <row r="84" spans="1:13" ht="15.75">
      <c r="A84" s="8" t="s">
        <v>0</v>
      </c>
      <c r="B84" s="24" t="s">
        <v>1</v>
      </c>
      <c r="C84" s="24" t="s">
        <v>2</v>
      </c>
      <c r="D84" s="24" t="s">
        <v>3</v>
      </c>
      <c r="E84" s="24" t="s">
        <v>22</v>
      </c>
      <c r="F84" s="24" t="s">
        <v>23</v>
      </c>
      <c r="G84" s="24" t="s">
        <v>4</v>
      </c>
      <c r="H84" s="24" t="s">
        <v>5</v>
      </c>
      <c r="I84" s="24" t="s">
        <v>6</v>
      </c>
      <c r="J84" s="24" t="s">
        <v>7</v>
      </c>
      <c r="K84" s="25" t="s">
        <v>8</v>
      </c>
      <c r="L84" s="26" t="s">
        <v>9</v>
      </c>
      <c r="M84" s="22" t="s">
        <v>41</v>
      </c>
    </row>
    <row r="85" spans="1:13" ht="12.75">
      <c r="A85" s="9" t="s">
        <v>42</v>
      </c>
      <c r="B85" s="11">
        <v>2789</v>
      </c>
      <c r="C85" s="11">
        <v>417</v>
      </c>
      <c r="D85" s="11">
        <v>549</v>
      </c>
      <c r="E85" s="11"/>
      <c r="F85" s="11">
        <f>218+502</f>
        <v>720</v>
      </c>
      <c r="G85" s="11">
        <v>411</v>
      </c>
      <c r="H85" s="11">
        <v>1080</v>
      </c>
      <c r="I85" s="11">
        <v>470</v>
      </c>
      <c r="J85" s="11">
        <v>105</v>
      </c>
      <c r="K85" s="11">
        <f aca="true" t="shared" si="17" ref="K85:K101">SUM(B85:J85)</f>
        <v>6541</v>
      </c>
      <c r="L85" s="10" t="s">
        <v>10</v>
      </c>
      <c r="M85" s="23"/>
    </row>
    <row r="86" spans="1:13" ht="12.75">
      <c r="A86" s="9" t="s">
        <v>43</v>
      </c>
      <c r="B86" s="11">
        <v>1116</v>
      </c>
      <c r="C86" s="11">
        <v>340</v>
      </c>
      <c r="D86" s="11">
        <v>311</v>
      </c>
      <c r="E86" s="11">
        <v>50</v>
      </c>
      <c r="F86" s="11">
        <f>139+244</f>
        <v>383</v>
      </c>
      <c r="G86" s="11">
        <v>131</v>
      </c>
      <c r="H86" s="11">
        <v>644</v>
      </c>
      <c r="I86" s="11">
        <v>212</v>
      </c>
      <c r="J86" s="11">
        <v>82</v>
      </c>
      <c r="K86" s="11">
        <f t="shared" si="17"/>
        <v>3269</v>
      </c>
      <c r="L86" s="10" t="s">
        <v>10</v>
      </c>
      <c r="M86" s="23">
        <f>+K86*205</f>
        <v>670145</v>
      </c>
    </row>
    <row r="87" spans="1:13" ht="12.75">
      <c r="A87" s="9" t="s">
        <v>44</v>
      </c>
      <c r="B87" s="11">
        <v>3228</v>
      </c>
      <c r="C87" s="11">
        <v>13827</v>
      </c>
      <c r="D87" s="11">
        <v>81</v>
      </c>
      <c r="E87" s="11"/>
      <c r="F87" s="11">
        <f>929+496</f>
        <v>1425</v>
      </c>
      <c r="G87" s="11">
        <v>980</v>
      </c>
      <c r="H87" s="11">
        <v>468</v>
      </c>
      <c r="I87" s="11">
        <v>1245</v>
      </c>
      <c r="J87" s="11">
        <v>1513</v>
      </c>
      <c r="K87" s="11">
        <f t="shared" si="17"/>
        <v>22767</v>
      </c>
      <c r="L87" s="10" t="s">
        <v>10</v>
      </c>
      <c r="M87" s="23"/>
    </row>
    <row r="88" spans="1:13" ht="12.75">
      <c r="A88" s="9" t="s">
        <v>45</v>
      </c>
      <c r="B88" s="11">
        <v>3094</v>
      </c>
      <c r="C88" s="11">
        <v>13684</v>
      </c>
      <c r="D88" s="11">
        <v>65</v>
      </c>
      <c r="E88" s="11">
        <v>1020</v>
      </c>
      <c r="F88" s="11">
        <v>1425</v>
      </c>
      <c r="G88" s="11">
        <v>450</v>
      </c>
      <c r="H88" s="11">
        <v>468</v>
      </c>
      <c r="I88" s="11">
        <v>1160</v>
      </c>
      <c r="J88" s="11">
        <v>1403</v>
      </c>
      <c r="K88" s="11">
        <f t="shared" si="17"/>
        <v>22769</v>
      </c>
      <c r="L88" s="10" t="s">
        <v>10</v>
      </c>
      <c r="M88" s="23">
        <f>+K88*50</f>
        <v>1138450</v>
      </c>
    </row>
    <row r="89" spans="1:13" ht="12.75">
      <c r="A89" s="9" t="s">
        <v>46</v>
      </c>
      <c r="B89" s="11"/>
      <c r="C89" s="11">
        <v>280</v>
      </c>
      <c r="D89" s="11">
        <v>240</v>
      </c>
      <c r="E89" s="11">
        <v>10</v>
      </c>
      <c r="F89" s="11"/>
      <c r="G89" s="11"/>
      <c r="H89" s="11">
        <v>2018</v>
      </c>
      <c r="I89" s="11">
        <v>1298</v>
      </c>
      <c r="J89" s="11">
        <v>23</v>
      </c>
      <c r="K89" s="11">
        <f t="shared" si="17"/>
        <v>3869</v>
      </c>
      <c r="L89" s="10" t="s">
        <v>10</v>
      </c>
      <c r="M89" s="23"/>
    </row>
    <row r="90" spans="1:13" ht="12.75">
      <c r="A90" s="9" t="s">
        <v>47</v>
      </c>
      <c r="B90" s="11">
        <v>6935</v>
      </c>
      <c r="C90" s="36">
        <v>280</v>
      </c>
      <c r="D90" s="11">
        <v>205</v>
      </c>
      <c r="E90" s="11">
        <v>10</v>
      </c>
      <c r="F90" s="11"/>
      <c r="G90" s="11"/>
      <c r="H90" s="11">
        <v>2018</v>
      </c>
      <c r="I90" s="11">
        <v>1298</v>
      </c>
      <c r="J90" s="11"/>
      <c r="K90" s="11">
        <f t="shared" si="17"/>
        <v>10746</v>
      </c>
      <c r="L90" s="10" t="s">
        <v>10</v>
      </c>
      <c r="M90" s="23">
        <f>+K90*11</f>
        <v>118206</v>
      </c>
    </row>
    <row r="91" spans="1:13" ht="12.75">
      <c r="A91" s="9" t="s">
        <v>48</v>
      </c>
      <c r="B91" s="11">
        <v>921</v>
      </c>
      <c r="C91" s="11">
        <v>54</v>
      </c>
      <c r="D91" s="11">
        <v>131</v>
      </c>
      <c r="E91" s="11">
        <v>80</v>
      </c>
      <c r="F91" s="11"/>
      <c r="G91" s="11"/>
      <c r="H91" s="11">
        <v>214</v>
      </c>
      <c r="I91" s="11">
        <v>650</v>
      </c>
      <c r="J91" s="11"/>
      <c r="K91" s="11">
        <f t="shared" si="17"/>
        <v>2050</v>
      </c>
      <c r="L91" s="10" t="s">
        <v>10</v>
      </c>
      <c r="M91" s="23"/>
    </row>
    <row r="92" spans="1:13" ht="12.75">
      <c r="A92" s="9" t="s">
        <v>49</v>
      </c>
      <c r="B92" s="11">
        <v>845</v>
      </c>
      <c r="C92" s="11">
        <v>54</v>
      </c>
      <c r="D92" s="11">
        <v>130</v>
      </c>
      <c r="E92" s="11">
        <v>80</v>
      </c>
      <c r="F92" s="11"/>
      <c r="G92" s="11"/>
      <c r="H92" s="11">
        <v>205</v>
      </c>
      <c r="I92" s="11">
        <v>650</v>
      </c>
      <c r="J92" s="11"/>
      <c r="K92" s="11">
        <f t="shared" si="17"/>
        <v>1964</v>
      </c>
      <c r="L92" s="10" t="s">
        <v>10</v>
      </c>
      <c r="M92" s="23">
        <f>+K92*12</f>
        <v>23568</v>
      </c>
    </row>
    <row r="93" spans="1:13" ht="12.75">
      <c r="A93" s="18" t="s">
        <v>63</v>
      </c>
      <c r="B93" s="11"/>
      <c r="C93" s="11"/>
      <c r="D93" s="11"/>
      <c r="E93" s="11"/>
      <c r="F93" s="11"/>
      <c r="G93" s="11"/>
      <c r="H93" s="11"/>
      <c r="I93" s="11"/>
      <c r="J93" s="11"/>
      <c r="K93" s="11">
        <f t="shared" si="17"/>
        <v>0</v>
      </c>
      <c r="L93" s="10" t="s">
        <v>10</v>
      </c>
      <c r="M93" s="23">
        <f>+K93*12</f>
        <v>0</v>
      </c>
    </row>
    <row r="94" spans="1:13" ht="12.75">
      <c r="A94" s="18" t="s">
        <v>63</v>
      </c>
      <c r="B94" s="11"/>
      <c r="C94" s="11"/>
      <c r="D94" s="11"/>
      <c r="E94" s="11"/>
      <c r="F94" s="11"/>
      <c r="G94" s="11"/>
      <c r="H94" s="11"/>
      <c r="I94" s="11"/>
      <c r="J94" s="11"/>
      <c r="K94" s="11">
        <f t="shared" si="17"/>
        <v>0</v>
      </c>
      <c r="L94" s="10" t="s">
        <v>10</v>
      </c>
      <c r="M94" s="23">
        <f>+K94*12</f>
        <v>0</v>
      </c>
    </row>
    <row r="95" spans="1:13" ht="12.75">
      <c r="A95" s="9" t="s">
        <v>27</v>
      </c>
      <c r="B95" s="11"/>
      <c r="C95" s="11"/>
      <c r="D95" s="11"/>
      <c r="E95" s="11"/>
      <c r="F95" s="11"/>
      <c r="G95" s="11">
        <v>480</v>
      </c>
      <c r="H95" s="11"/>
      <c r="I95" s="11">
        <v>360</v>
      </c>
      <c r="J95" s="11">
        <v>134</v>
      </c>
      <c r="K95" s="11">
        <f t="shared" si="17"/>
        <v>974</v>
      </c>
      <c r="L95" s="10" t="s">
        <v>10</v>
      </c>
      <c r="M95" s="23"/>
    </row>
    <row r="96" spans="1:13" ht="12.75">
      <c r="A96" s="9" t="s">
        <v>28</v>
      </c>
      <c r="B96" s="11"/>
      <c r="C96" s="11"/>
      <c r="D96" s="11"/>
      <c r="E96" s="11"/>
      <c r="F96" s="11"/>
      <c r="G96" s="11">
        <v>721</v>
      </c>
      <c r="H96" s="11"/>
      <c r="I96" s="11">
        <v>703</v>
      </c>
      <c r="J96" s="11">
        <v>214</v>
      </c>
      <c r="K96" s="11">
        <f t="shared" si="17"/>
        <v>1638</v>
      </c>
      <c r="L96" s="10" t="s">
        <v>33</v>
      </c>
      <c r="M96" s="23">
        <f>+K96</f>
        <v>1638</v>
      </c>
    </row>
    <row r="97" spans="1:13" ht="12.75">
      <c r="A97" s="9" t="s">
        <v>31</v>
      </c>
      <c r="B97" s="11">
        <v>140000</v>
      </c>
      <c r="C97" s="11">
        <v>156614</v>
      </c>
      <c r="D97" s="11"/>
      <c r="E97" s="11"/>
      <c r="F97" s="11">
        <f>117500+958101</f>
        <v>1075601</v>
      </c>
      <c r="G97" s="11">
        <v>205500</v>
      </c>
      <c r="H97" s="11"/>
      <c r="I97" s="11">
        <v>1382405</v>
      </c>
      <c r="J97" s="11"/>
      <c r="K97" s="11">
        <f t="shared" si="17"/>
        <v>2960120</v>
      </c>
      <c r="L97" s="10" t="s">
        <v>10</v>
      </c>
      <c r="M97" s="23">
        <f>+K97*1.5</f>
        <v>4440180</v>
      </c>
    </row>
    <row r="98" spans="1:13" ht="12.75">
      <c r="A98" s="9" t="s">
        <v>32</v>
      </c>
      <c r="B98" s="11">
        <v>1400</v>
      </c>
      <c r="C98" s="11">
        <v>56870</v>
      </c>
      <c r="D98" s="11"/>
      <c r="E98" s="11"/>
      <c r="F98" s="11"/>
      <c r="G98" s="11">
        <v>7700</v>
      </c>
      <c r="H98" s="11"/>
      <c r="I98" s="11">
        <v>42735</v>
      </c>
      <c r="J98" s="11"/>
      <c r="K98" s="11">
        <f t="shared" si="17"/>
        <v>108705</v>
      </c>
      <c r="L98" s="10" t="s">
        <v>10</v>
      </c>
      <c r="M98" s="23">
        <f>+K98*2</f>
        <v>217410</v>
      </c>
    </row>
    <row r="99" spans="1:13" ht="12.75">
      <c r="A99" s="9" t="s">
        <v>29</v>
      </c>
      <c r="B99" s="11">
        <v>3658504</v>
      </c>
      <c r="C99" s="11">
        <v>1323587</v>
      </c>
      <c r="D99" s="11">
        <v>1077720</v>
      </c>
      <c r="E99" s="11">
        <v>108892</v>
      </c>
      <c r="F99" s="11">
        <v>745680</v>
      </c>
      <c r="G99" s="11">
        <v>366000</v>
      </c>
      <c r="H99" s="11">
        <v>800572</v>
      </c>
      <c r="I99" s="11">
        <v>112000</v>
      </c>
      <c r="J99" s="11"/>
      <c r="K99" s="11">
        <f t="shared" si="17"/>
        <v>8192955</v>
      </c>
      <c r="L99" s="10" t="s">
        <v>12</v>
      </c>
      <c r="M99" s="23"/>
    </row>
    <row r="100" spans="1:13" ht="12.75">
      <c r="A100" s="9" t="s">
        <v>30</v>
      </c>
      <c r="B100" s="11">
        <v>352422</v>
      </c>
      <c r="C100" s="11"/>
      <c r="D100" s="11"/>
      <c r="E100" s="11">
        <v>408</v>
      </c>
      <c r="F100" s="11">
        <v>14080</v>
      </c>
      <c r="G100" s="11">
        <v>15600</v>
      </c>
      <c r="H100" s="11">
        <v>82265</v>
      </c>
      <c r="I100" s="11">
        <v>6100</v>
      </c>
      <c r="J100" s="11"/>
      <c r="K100" s="11">
        <f t="shared" si="17"/>
        <v>470875</v>
      </c>
      <c r="L100" s="10" t="s">
        <v>11</v>
      </c>
      <c r="M100" s="23"/>
    </row>
    <row r="101" spans="1:13" ht="12.75">
      <c r="A101" s="9" t="s">
        <v>38</v>
      </c>
      <c r="B101" s="11">
        <v>2486972</v>
      </c>
      <c r="C101" s="11">
        <v>27556200</v>
      </c>
      <c r="D101" s="11"/>
      <c r="E101" s="11">
        <v>25000</v>
      </c>
      <c r="F101" s="11">
        <v>486000</v>
      </c>
      <c r="G101" s="11">
        <v>243000</v>
      </c>
      <c r="H101" s="11"/>
      <c r="I101" s="11">
        <v>1346000</v>
      </c>
      <c r="J101" s="11"/>
      <c r="K101" s="11">
        <f t="shared" si="17"/>
        <v>32143172</v>
      </c>
      <c r="L101" s="10" t="s">
        <v>24</v>
      </c>
      <c r="M101" s="23"/>
    </row>
    <row r="102" spans="1:13" ht="12.75">
      <c r="A102" s="18" t="s">
        <v>60</v>
      </c>
      <c r="B102" s="11"/>
      <c r="C102" s="11"/>
      <c r="D102" s="11"/>
      <c r="E102" s="11">
        <v>233414</v>
      </c>
      <c r="F102" s="11"/>
      <c r="G102" s="11">
        <v>755280</v>
      </c>
      <c r="H102" s="11"/>
      <c r="I102" s="11"/>
      <c r="J102" s="11"/>
      <c r="K102" s="19">
        <f>SUM(B102:J102)</f>
        <v>988694</v>
      </c>
      <c r="L102" s="21"/>
      <c r="M102" s="23"/>
    </row>
    <row r="103" spans="1:13" ht="13.5" thickBot="1">
      <c r="A103" s="20" t="s">
        <v>35</v>
      </c>
      <c r="B103" s="12"/>
      <c r="C103" s="12"/>
      <c r="D103" s="12">
        <v>405</v>
      </c>
      <c r="E103" s="12">
        <v>578</v>
      </c>
      <c r="F103" s="12"/>
      <c r="G103" s="12">
        <v>440</v>
      </c>
      <c r="H103" s="12"/>
      <c r="I103" s="12"/>
      <c r="J103" s="12"/>
      <c r="K103" s="12">
        <f>C103+D103+E103+F103+G103+H103+I103+J103</f>
        <v>1423</v>
      </c>
      <c r="L103" s="42"/>
      <c r="M103" s="43"/>
    </row>
    <row r="104" spans="1:13" ht="12.75">
      <c r="A104" t="s">
        <v>75</v>
      </c>
      <c r="J104" s="37"/>
      <c r="K104" s="40"/>
      <c r="L104" s="41"/>
      <c r="M104" s="38"/>
    </row>
    <row r="105" spans="1:13" ht="12.75">
      <c r="A105" t="s">
        <v>76</v>
      </c>
      <c r="E105" t="s">
        <v>59</v>
      </c>
      <c r="J105" s="37"/>
      <c r="K105" s="40"/>
      <c r="L105" s="41"/>
      <c r="M105" s="38"/>
    </row>
    <row r="106" spans="10:13" ht="12.75">
      <c r="J106" s="37"/>
      <c r="K106" s="40"/>
      <c r="L106" s="41"/>
      <c r="M106" s="38"/>
    </row>
    <row r="107" spans="1:6" ht="15.75">
      <c r="A107" s="86" t="s">
        <v>79</v>
      </c>
      <c r="D107" s="86" t="s">
        <v>91</v>
      </c>
      <c r="E107" s="86"/>
      <c r="F107" s="86"/>
    </row>
    <row r="108" ht="13.5" thickBot="1">
      <c r="F108" s="14"/>
    </row>
    <row r="109" spans="1:13" ht="16.5" thickBot="1">
      <c r="A109" s="8" t="s">
        <v>0</v>
      </c>
      <c r="B109" s="24" t="s">
        <v>1</v>
      </c>
      <c r="C109" s="24" t="s">
        <v>2</v>
      </c>
      <c r="D109" s="24" t="s">
        <v>3</v>
      </c>
      <c r="E109" s="87" t="s">
        <v>22</v>
      </c>
      <c r="F109" s="90" t="s">
        <v>23</v>
      </c>
      <c r="G109" s="88" t="s">
        <v>4</v>
      </c>
      <c r="H109" s="24" t="s">
        <v>5</v>
      </c>
      <c r="I109" s="24" t="s">
        <v>6</v>
      </c>
      <c r="J109" s="24" t="s">
        <v>7</v>
      </c>
      <c r="K109" s="25" t="s">
        <v>8</v>
      </c>
      <c r="L109" s="26" t="s">
        <v>9</v>
      </c>
      <c r="M109" s="22" t="s">
        <v>41</v>
      </c>
    </row>
    <row r="110" spans="1:13" ht="12.75">
      <c r="A110" s="9" t="s">
        <v>42</v>
      </c>
      <c r="B110" s="11">
        <v>2903</v>
      </c>
      <c r="C110" s="11">
        <v>601</v>
      </c>
      <c r="D110" s="11">
        <v>529</v>
      </c>
      <c r="E110" s="11"/>
      <c r="F110" s="89">
        <v>566</v>
      </c>
      <c r="G110" s="11">
        <v>358</v>
      </c>
      <c r="H110" s="11">
        <v>1167</v>
      </c>
      <c r="I110" s="11">
        <v>75</v>
      </c>
      <c r="J110" s="11">
        <v>137</v>
      </c>
      <c r="K110" s="11">
        <f aca="true" t="shared" si="18" ref="K110:K126">SUM(B110:J110)</f>
        <v>6336</v>
      </c>
      <c r="L110" s="10" t="s">
        <v>10</v>
      </c>
      <c r="M110" s="23"/>
    </row>
    <row r="111" spans="1:13" ht="12.75">
      <c r="A111" s="9" t="s">
        <v>43</v>
      </c>
      <c r="B111" s="11">
        <v>939</v>
      </c>
      <c r="C111" s="11">
        <v>568</v>
      </c>
      <c r="D111" s="11">
        <v>318</v>
      </c>
      <c r="E111" s="11">
        <v>85</v>
      </c>
      <c r="F111" s="11">
        <v>227</v>
      </c>
      <c r="G111" s="11">
        <v>174</v>
      </c>
      <c r="H111" s="11">
        <v>598</v>
      </c>
      <c r="I111" s="11">
        <v>49</v>
      </c>
      <c r="J111" s="11">
        <v>101</v>
      </c>
      <c r="K111" s="11">
        <f t="shared" si="18"/>
        <v>3059</v>
      </c>
      <c r="L111" s="10" t="s">
        <v>10</v>
      </c>
      <c r="M111" s="23">
        <f>+K111*205</f>
        <v>627095</v>
      </c>
    </row>
    <row r="112" spans="1:13" ht="12.75">
      <c r="A112" s="9" t="s">
        <v>44</v>
      </c>
      <c r="B112" s="11">
        <v>2488</v>
      </c>
      <c r="C112" s="11">
        <v>13336</v>
      </c>
      <c r="D112" s="11"/>
      <c r="E112" s="11"/>
      <c r="F112" s="11">
        <v>1508</v>
      </c>
      <c r="G112" s="11">
        <v>926</v>
      </c>
      <c r="H112" s="11">
        <v>519</v>
      </c>
      <c r="I112" s="11">
        <v>1371</v>
      </c>
      <c r="J112" s="11">
        <v>1563</v>
      </c>
      <c r="K112" s="11">
        <f t="shared" si="18"/>
        <v>21711</v>
      </c>
      <c r="L112" s="10" t="s">
        <v>10</v>
      </c>
      <c r="M112" s="23"/>
    </row>
    <row r="113" spans="1:13" ht="12.75">
      <c r="A113" s="9" t="s">
        <v>45</v>
      </c>
      <c r="B113" s="11">
        <v>2312</v>
      </c>
      <c r="C113" s="11">
        <v>13321</v>
      </c>
      <c r="D113" s="11"/>
      <c r="E113" s="11">
        <v>1060</v>
      </c>
      <c r="F113" s="11">
        <v>1508</v>
      </c>
      <c r="G113" s="11">
        <v>425</v>
      </c>
      <c r="H113" s="11">
        <v>519</v>
      </c>
      <c r="I113" s="11">
        <v>1261</v>
      </c>
      <c r="J113" s="11">
        <v>1491</v>
      </c>
      <c r="K113" s="11">
        <f t="shared" si="18"/>
        <v>21897</v>
      </c>
      <c r="L113" s="10" t="s">
        <v>10</v>
      </c>
      <c r="M113" s="23">
        <f>+K113*50</f>
        <v>1094850</v>
      </c>
    </row>
    <row r="114" spans="1:13" ht="12.75">
      <c r="A114" s="9" t="s">
        <v>46</v>
      </c>
      <c r="B114" s="11">
        <v>5627</v>
      </c>
      <c r="C114" s="11">
        <v>249</v>
      </c>
      <c r="D114" s="11">
        <v>175</v>
      </c>
      <c r="E114" s="11">
        <v>21</v>
      </c>
      <c r="F114" s="11"/>
      <c r="G114" s="11"/>
      <c r="H114" s="11">
        <v>1216</v>
      </c>
      <c r="I114" s="11">
        <v>1314</v>
      </c>
      <c r="J114" s="11">
        <v>20</v>
      </c>
      <c r="K114" s="11">
        <f t="shared" si="18"/>
        <v>8622</v>
      </c>
      <c r="L114" s="10" t="s">
        <v>10</v>
      </c>
      <c r="M114" s="23"/>
    </row>
    <row r="115" spans="1:13" ht="12.75">
      <c r="A115" s="9" t="s">
        <v>47</v>
      </c>
      <c r="B115" s="11">
        <v>5627</v>
      </c>
      <c r="C115" s="36">
        <v>249</v>
      </c>
      <c r="D115" s="11">
        <v>175</v>
      </c>
      <c r="E115" s="11">
        <v>21</v>
      </c>
      <c r="F115" s="11"/>
      <c r="G115" s="11"/>
      <c r="H115" s="11">
        <v>1216</v>
      </c>
      <c r="I115" s="11">
        <v>1314</v>
      </c>
      <c r="J115" s="11"/>
      <c r="K115" s="11">
        <f t="shared" si="18"/>
        <v>8602</v>
      </c>
      <c r="L115" s="10" t="s">
        <v>10</v>
      </c>
      <c r="M115" s="23">
        <f>+K115*11</f>
        <v>94622</v>
      </c>
    </row>
    <row r="116" spans="1:13" ht="12.75">
      <c r="A116" s="9" t="s">
        <v>48</v>
      </c>
      <c r="B116" s="11">
        <v>932</v>
      </c>
      <c r="C116" s="11">
        <v>52</v>
      </c>
      <c r="D116" s="11">
        <v>85</v>
      </c>
      <c r="E116" s="11">
        <v>90</v>
      </c>
      <c r="F116" s="11"/>
      <c r="G116" s="11"/>
      <c r="H116" s="11">
        <v>210</v>
      </c>
      <c r="I116" s="11">
        <v>615</v>
      </c>
      <c r="J116" s="11"/>
      <c r="K116" s="11">
        <f t="shared" si="18"/>
        <v>1984</v>
      </c>
      <c r="L116" s="10" t="s">
        <v>10</v>
      </c>
      <c r="M116" s="23"/>
    </row>
    <row r="117" spans="1:13" ht="12.75">
      <c r="A117" s="9" t="s">
        <v>49</v>
      </c>
      <c r="B117" s="11">
        <v>932</v>
      </c>
      <c r="C117" s="11">
        <v>52</v>
      </c>
      <c r="D117" s="11">
        <v>85</v>
      </c>
      <c r="E117" s="11">
        <v>90</v>
      </c>
      <c r="F117" s="11"/>
      <c r="G117" s="11"/>
      <c r="H117" s="11">
        <v>210</v>
      </c>
      <c r="I117" s="11">
        <v>615</v>
      </c>
      <c r="J117" s="11"/>
      <c r="K117" s="11">
        <f t="shared" si="18"/>
        <v>1984</v>
      </c>
      <c r="L117" s="10" t="s">
        <v>10</v>
      </c>
      <c r="M117" s="23">
        <f>+K117*12</f>
        <v>23808</v>
      </c>
    </row>
    <row r="118" spans="1:13" ht="12.75">
      <c r="A118" s="18" t="s">
        <v>63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>
        <f t="shared" si="18"/>
        <v>0</v>
      </c>
      <c r="L118" s="10" t="s">
        <v>10</v>
      </c>
      <c r="M118" s="23">
        <f>+K118*12</f>
        <v>0</v>
      </c>
    </row>
    <row r="119" spans="1:13" ht="12.75">
      <c r="A119" s="18" t="s">
        <v>63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>
        <f t="shared" si="18"/>
        <v>0</v>
      </c>
      <c r="L119" s="10" t="s">
        <v>10</v>
      </c>
      <c r="M119" s="23">
        <f>+K119*12</f>
        <v>0</v>
      </c>
    </row>
    <row r="120" spans="1:13" ht="12.75">
      <c r="A120" s="9" t="s">
        <v>27</v>
      </c>
      <c r="B120" s="11"/>
      <c r="C120" s="11"/>
      <c r="D120" s="11"/>
      <c r="E120" s="11"/>
      <c r="F120" s="11"/>
      <c r="G120" s="11">
        <v>340</v>
      </c>
      <c r="H120" s="11"/>
      <c r="I120" s="11">
        <v>325</v>
      </c>
      <c r="J120" s="11">
        <v>132</v>
      </c>
      <c r="K120" s="11">
        <f t="shared" si="18"/>
        <v>797</v>
      </c>
      <c r="L120" s="10" t="s">
        <v>10</v>
      </c>
      <c r="M120" s="23"/>
    </row>
    <row r="121" spans="1:13" ht="12.75">
      <c r="A121" s="9" t="s">
        <v>28</v>
      </c>
      <c r="B121" s="11"/>
      <c r="C121" s="11"/>
      <c r="D121" s="11"/>
      <c r="E121" s="11"/>
      <c r="F121" s="11">
        <v>535845</v>
      </c>
      <c r="G121" s="11">
        <v>510</v>
      </c>
      <c r="H121" s="11"/>
      <c r="I121" s="11">
        <v>585</v>
      </c>
      <c r="J121" s="11">
        <v>229</v>
      </c>
      <c r="K121" s="11">
        <f t="shared" si="18"/>
        <v>537169</v>
      </c>
      <c r="L121" s="10" t="s">
        <v>33</v>
      </c>
      <c r="M121" s="23">
        <f>+K121</f>
        <v>537169</v>
      </c>
    </row>
    <row r="122" spans="1:13" ht="12.75">
      <c r="A122" s="9" t="s">
        <v>31</v>
      </c>
      <c r="B122" s="11">
        <v>54700</v>
      </c>
      <c r="C122" s="11">
        <v>116985</v>
      </c>
      <c r="D122" s="11"/>
      <c r="E122" s="11"/>
      <c r="F122" s="11"/>
      <c r="G122" s="11">
        <v>350200</v>
      </c>
      <c r="H122" s="11"/>
      <c r="I122" s="11">
        <v>1573815</v>
      </c>
      <c r="J122" s="11"/>
      <c r="K122" s="11">
        <f t="shared" si="18"/>
        <v>2095700</v>
      </c>
      <c r="L122" s="10" t="s">
        <v>10</v>
      </c>
      <c r="M122" s="23">
        <f>+K122*1.5</f>
        <v>3143550</v>
      </c>
    </row>
    <row r="123" spans="1:13" ht="12.75">
      <c r="A123" s="9" t="s">
        <v>32</v>
      </c>
      <c r="B123" s="11"/>
      <c r="C123" s="11">
        <v>49700</v>
      </c>
      <c r="D123" s="11"/>
      <c r="E123" s="11"/>
      <c r="F123" s="11">
        <v>599400</v>
      </c>
      <c r="G123" s="11"/>
      <c r="H123" s="11"/>
      <c r="I123" s="11"/>
      <c r="J123" s="11"/>
      <c r="K123" s="11">
        <f t="shared" si="18"/>
        <v>649100</v>
      </c>
      <c r="L123" s="10" t="s">
        <v>10</v>
      </c>
      <c r="M123" s="23">
        <f>+K123*2</f>
        <v>1298200</v>
      </c>
    </row>
    <row r="124" spans="1:13" ht="12.75">
      <c r="A124" s="9" t="s">
        <v>29</v>
      </c>
      <c r="B124" s="11">
        <v>5018368</v>
      </c>
      <c r="C124" s="11">
        <v>1315123</v>
      </c>
      <c r="D124" s="11">
        <v>1077570</v>
      </c>
      <c r="E124" s="11">
        <v>109490</v>
      </c>
      <c r="F124" s="11">
        <v>10775</v>
      </c>
      <c r="G124" s="11">
        <v>391840</v>
      </c>
      <c r="H124" s="11">
        <v>843815</v>
      </c>
      <c r="I124" s="64">
        <v>115840</v>
      </c>
      <c r="J124" s="11"/>
      <c r="K124" s="11">
        <f t="shared" si="18"/>
        <v>8882821</v>
      </c>
      <c r="L124" s="10" t="s">
        <v>12</v>
      </c>
      <c r="M124" s="23"/>
    </row>
    <row r="125" spans="1:13" ht="12.75">
      <c r="A125" s="9" t="s">
        <v>30</v>
      </c>
      <c r="B125" s="11">
        <v>539796</v>
      </c>
      <c r="C125" s="11"/>
      <c r="D125" s="11"/>
      <c r="E125" s="11">
        <v>589</v>
      </c>
      <c r="F125" s="11">
        <v>528000</v>
      </c>
      <c r="G125" s="11">
        <v>16740</v>
      </c>
      <c r="H125" s="11">
        <v>86704</v>
      </c>
      <c r="I125" s="64">
        <v>6221</v>
      </c>
      <c r="J125" s="11"/>
      <c r="K125" s="11">
        <f t="shared" si="18"/>
        <v>1178050</v>
      </c>
      <c r="L125" s="10" t="s">
        <v>11</v>
      </c>
      <c r="M125" s="23"/>
    </row>
    <row r="126" spans="1:13" ht="12.75">
      <c r="A126" s="9" t="s">
        <v>38</v>
      </c>
      <c r="B126" s="11">
        <v>2488132</v>
      </c>
      <c r="C126" s="11">
        <v>28487420</v>
      </c>
      <c r="D126" s="11">
        <v>147000</v>
      </c>
      <c r="E126" s="11">
        <v>33480</v>
      </c>
      <c r="F126" s="11"/>
      <c r="G126" s="11">
        <v>318470</v>
      </c>
      <c r="H126" s="11"/>
      <c r="I126" s="64">
        <v>1456896</v>
      </c>
      <c r="J126" s="11"/>
      <c r="K126" s="11">
        <f t="shared" si="18"/>
        <v>32931398</v>
      </c>
      <c r="L126" s="10" t="s">
        <v>24</v>
      </c>
      <c r="M126" s="23"/>
    </row>
    <row r="127" spans="1:13" ht="12.75">
      <c r="A127" s="18" t="s">
        <v>60</v>
      </c>
      <c r="B127" s="11"/>
      <c r="C127" s="11"/>
      <c r="D127" s="11"/>
      <c r="E127" s="11">
        <v>803164</v>
      </c>
      <c r="F127" s="19">
        <v>700</v>
      </c>
      <c r="G127" s="11">
        <v>714960</v>
      </c>
      <c r="H127" s="11"/>
      <c r="I127" s="66"/>
      <c r="J127" s="11"/>
      <c r="K127" s="19">
        <f>SUM(B127:J127)</f>
        <v>1518824</v>
      </c>
      <c r="L127" s="21"/>
      <c r="M127" s="23"/>
    </row>
    <row r="128" spans="1:13" ht="13.5" thickBot="1">
      <c r="A128" s="20" t="s">
        <v>35</v>
      </c>
      <c r="B128" s="12"/>
      <c r="C128" s="12"/>
      <c r="D128" s="12">
        <v>305</v>
      </c>
      <c r="E128" s="91">
        <v>529</v>
      </c>
      <c r="F128" s="20"/>
      <c r="G128" s="92">
        <v>420</v>
      </c>
      <c r="H128" s="12"/>
      <c r="I128" s="70"/>
      <c r="J128" s="12"/>
      <c r="K128" s="12">
        <f>B128+C128+D128+E128+F127+G128+H128+I128+J128</f>
        <v>1954</v>
      </c>
      <c r="L128" s="42"/>
      <c r="M128" s="43"/>
    </row>
    <row r="129" ht="12.75">
      <c r="A129" t="s">
        <v>75</v>
      </c>
    </row>
    <row r="130" spans="1:5" ht="12.75">
      <c r="A130" t="s">
        <v>76</v>
      </c>
      <c r="E130" t="s">
        <v>59</v>
      </c>
    </row>
    <row r="132" spans="1:6" ht="15.75">
      <c r="A132" s="86" t="s">
        <v>80</v>
      </c>
      <c r="D132" s="86" t="s">
        <v>91</v>
      </c>
      <c r="E132" s="86"/>
      <c r="F132" s="86"/>
    </row>
    <row r="133" ht="13.5" thickBot="1">
      <c r="F133" s="14"/>
    </row>
    <row r="134" spans="1:13" ht="15.75">
      <c r="A134" s="8" t="s">
        <v>0</v>
      </c>
      <c r="B134" s="24" t="s">
        <v>1</v>
      </c>
      <c r="C134" s="24" t="s">
        <v>2</v>
      </c>
      <c r="D134" s="24" t="s">
        <v>3</v>
      </c>
      <c r="E134" s="24" t="s">
        <v>22</v>
      </c>
      <c r="F134" s="80" t="s">
        <v>23</v>
      </c>
      <c r="G134" s="24" t="s">
        <v>4</v>
      </c>
      <c r="H134" s="24" t="s">
        <v>5</v>
      </c>
      <c r="I134" s="24" t="s">
        <v>6</v>
      </c>
      <c r="J134" s="24" t="s">
        <v>7</v>
      </c>
      <c r="K134" s="25" t="s">
        <v>8</v>
      </c>
      <c r="L134" s="26" t="s">
        <v>9</v>
      </c>
      <c r="M134" s="22" t="s">
        <v>41</v>
      </c>
    </row>
    <row r="135" spans="1:13" ht="12.75">
      <c r="A135" s="9" t="s">
        <v>42</v>
      </c>
      <c r="B135" s="11">
        <v>2523</v>
      </c>
      <c r="C135" s="11">
        <v>413</v>
      </c>
      <c r="D135" s="11">
        <v>219</v>
      </c>
      <c r="E135" s="11"/>
      <c r="F135" s="11">
        <v>826</v>
      </c>
      <c r="G135" s="11">
        <v>212</v>
      </c>
      <c r="H135" s="11">
        <v>1203</v>
      </c>
      <c r="I135" s="11">
        <f>18+19</f>
        <v>37</v>
      </c>
      <c r="J135" s="11">
        <v>119</v>
      </c>
      <c r="K135" s="11">
        <f aca="true" t="shared" si="19" ref="K135:K151">SUM(B135:J135)</f>
        <v>5552</v>
      </c>
      <c r="L135" s="10" t="s">
        <v>10</v>
      </c>
      <c r="M135" s="23"/>
    </row>
    <row r="136" spans="1:13" ht="12.75">
      <c r="A136" s="9" t="s">
        <v>43</v>
      </c>
      <c r="B136" s="11">
        <v>875</v>
      </c>
      <c r="C136" s="11">
        <v>352</v>
      </c>
      <c r="D136" s="11">
        <v>118</v>
      </c>
      <c r="E136" s="11">
        <v>70</v>
      </c>
      <c r="F136" s="11">
        <v>342</v>
      </c>
      <c r="G136" s="11">
        <v>137</v>
      </c>
      <c r="H136" s="11">
        <v>783</v>
      </c>
      <c r="I136" s="11">
        <v>22</v>
      </c>
      <c r="J136" s="11">
        <v>98</v>
      </c>
      <c r="K136" s="11">
        <f t="shared" si="19"/>
        <v>2797</v>
      </c>
      <c r="L136" s="10" t="s">
        <v>10</v>
      </c>
      <c r="M136" s="23">
        <f>+K136*205</f>
        <v>573385</v>
      </c>
    </row>
    <row r="137" spans="1:13" ht="12.75">
      <c r="A137" s="9" t="s">
        <v>44</v>
      </c>
      <c r="B137" s="11">
        <v>3719</v>
      </c>
      <c r="C137" s="11">
        <v>12705</v>
      </c>
      <c r="D137" s="11">
        <v>81</v>
      </c>
      <c r="E137" s="11"/>
      <c r="F137" s="11">
        <v>1188</v>
      </c>
      <c r="G137" s="11">
        <v>800</v>
      </c>
      <c r="H137" s="11">
        <v>438</v>
      </c>
      <c r="I137" s="11">
        <v>1161</v>
      </c>
      <c r="J137" s="11">
        <v>1399</v>
      </c>
      <c r="K137" s="11">
        <f t="shared" si="19"/>
        <v>21491</v>
      </c>
      <c r="L137" s="10" t="s">
        <v>10</v>
      </c>
      <c r="M137" s="23"/>
    </row>
    <row r="138" spans="1:13" ht="12.75">
      <c r="A138" s="9" t="s">
        <v>45</v>
      </c>
      <c r="B138" s="11">
        <v>3596</v>
      </c>
      <c r="C138" s="11">
        <v>12590</v>
      </c>
      <c r="D138" s="11">
        <v>66</v>
      </c>
      <c r="E138" s="11">
        <v>980</v>
      </c>
      <c r="F138" s="11">
        <v>1146</v>
      </c>
      <c r="G138" s="11">
        <v>299</v>
      </c>
      <c r="H138" s="11">
        <v>340</v>
      </c>
      <c r="I138" s="11">
        <v>1119</v>
      </c>
      <c r="J138" s="11">
        <v>1399</v>
      </c>
      <c r="K138" s="11">
        <f t="shared" si="19"/>
        <v>21535</v>
      </c>
      <c r="L138" s="10" t="s">
        <v>10</v>
      </c>
      <c r="M138" s="23">
        <f>+K138*50</f>
        <v>1076750</v>
      </c>
    </row>
    <row r="139" spans="1:13" ht="12.75">
      <c r="A139" s="9" t="s">
        <v>46</v>
      </c>
      <c r="B139" s="11">
        <v>6853</v>
      </c>
      <c r="C139" s="11">
        <v>289</v>
      </c>
      <c r="D139" s="11">
        <v>68</v>
      </c>
      <c r="E139" s="11">
        <v>20</v>
      </c>
      <c r="F139" s="11"/>
      <c r="G139" s="11"/>
      <c r="H139" s="11">
        <v>1000</v>
      </c>
      <c r="I139" s="11">
        <v>1000</v>
      </c>
      <c r="J139" s="11"/>
      <c r="K139" s="11">
        <f t="shared" si="19"/>
        <v>9230</v>
      </c>
      <c r="L139" s="10" t="s">
        <v>10</v>
      </c>
      <c r="M139" s="23"/>
    </row>
    <row r="140" spans="1:13" ht="12.75">
      <c r="A140" s="9" t="s">
        <v>47</v>
      </c>
      <c r="B140" s="11">
        <v>6757</v>
      </c>
      <c r="C140" s="36">
        <v>289</v>
      </c>
      <c r="D140" s="11">
        <v>68</v>
      </c>
      <c r="E140" s="11">
        <v>20</v>
      </c>
      <c r="F140" s="11"/>
      <c r="G140" s="11"/>
      <c r="H140" s="11">
        <v>1000</v>
      </c>
      <c r="I140" s="11">
        <v>1000</v>
      </c>
      <c r="J140" s="11"/>
      <c r="K140" s="11">
        <f t="shared" si="19"/>
        <v>9134</v>
      </c>
      <c r="L140" s="10" t="s">
        <v>10</v>
      </c>
      <c r="M140" s="23">
        <f>+K140*11</f>
        <v>100474</v>
      </c>
    </row>
    <row r="141" spans="1:13" ht="12.75">
      <c r="A141" s="9" t="s">
        <v>48</v>
      </c>
      <c r="B141" s="11">
        <v>981</v>
      </c>
      <c r="C141" s="11">
        <v>53</v>
      </c>
      <c r="D141" s="11">
        <v>27</v>
      </c>
      <c r="E141" s="11">
        <v>40</v>
      </c>
      <c r="F141" s="11"/>
      <c r="G141" s="11"/>
      <c r="H141" s="11">
        <v>211</v>
      </c>
      <c r="I141" s="11">
        <v>600</v>
      </c>
      <c r="J141" s="11"/>
      <c r="K141" s="11">
        <f t="shared" si="19"/>
        <v>1912</v>
      </c>
      <c r="L141" s="10" t="s">
        <v>10</v>
      </c>
      <c r="M141" s="23"/>
    </row>
    <row r="142" spans="1:13" ht="12.75">
      <c r="A142" s="9" t="s">
        <v>49</v>
      </c>
      <c r="B142" s="11">
        <v>971</v>
      </c>
      <c r="C142" s="11">
        <v>53</v>
      </c>
      <c r="D142" s="11">
        <v>27</v>
      </c>
      <c r="E142" s="11">
        <v>40</v>
      </c>
      <c r="F142" s="11">
        <v>30</v>
      </c>
      <c r="G142" s="11"/>
      <c r="H142" s="11">
        <v>211</v>
      </c>
      <c r="I142" s="11">
        <v>600</v>
      </c>
      <c r="J142" s="11"/>
      <c r="K142" s="11">
        <f t="shared" si="19"/>
        <v>1932</v>
      </c>
      <c r="L142" s="10" t="s">
        <v>10</v>
      </c>
      <c r="M142" s="23">
        <f>+K142*12</f>
        <v>23184</v>
      </c>
    </row>
    <row r="143" spans="1:13" ht="12.75">
      <c r="A143" s="18" t="s">
        <v>64</v>
      </c>
      <c r="B143" s="11"/>
      <c r="C143" s="11">
        <v>4</v>
      </c>
      <c r="D143" s="11"/>
      <c r="E143" s="11"/>
      <c r="F143" s="11">
        <v>30</v>
      </c>
      <c r="G143" s="11"/>
      <c r="H143" s="11"/>
      <c r="I143" s="11"/>
      <c r="J143" s="11"/>
      <c r="K143" s="11">
        <f t="shared" si="19"/>
        <v>34</v>
      </c>
      <c r="L143" s="10" t="s">
        <v>10</v>
      </c>
      <c r="M143" s="23">
        <f>+K143*12</f>
        <v>408</v>
      </c>
    </row>
    <row r="144" spans="1:13" ht="12.75">
      <c r="A144" s="18" t="s">
        <v>65</v>
      </c>
      <c r="B144" s="11"/>
      <c r="C144" s="11">
        <v>4</v>
      </c>
      <c r="D144" s="11"/>
      <c r="E144" s="11"/>
      <c r="F144" s="11"/>
      <c r="G144" s="11"/>
      <c r="H144" s="11"/>
      <c r="I144" s="11"/>
      <c r="J144" s="11"/>
      <c r="K144" s="11">
        <f t="shared" si="19"/>
        <v>4</v>
      </c>
      <c r="L144" s="10" t="s">
        <v>10</v>
      </c>
      <c r="M144" s="23">
        <f>+K144*12</f>
        <v>48</v>
      </c>
    </row>
    <row r="145" spans="1:13" ht="12.75">
      <c r="A145" s="9" t="s">
        <v>27</v>
      </c>
      <c r="B145" s="11"/>
      <c r="C145" s="11"/>
      <c r="D145" s="11"/>
      <c r="E145" s="11">
        <v>150</v>
      </c>
      <c r="F145" s="11"/>
      <c r="G145" s="11">
        <v>195</v>
      </c>
      <c r="H145" s="11"/>
      <c r="I145" s="11">
        <v>220</v>
      </c>
      <c r="J145" s="11">
        <v>142</v>
      </c>
      <c r="K145" s="11">
        <f t="shared" si="19"/>
        <v>707</v>
      </c>
      <c r="L145" s="10" t="s">
        <v>10</v>
      </c>
      <c r="M145" s="23"/>
    </row>
    <row r="146" spans="1:13" ht="12.75">
      <c r="A146" s="9" t="s">
        <v>28</v>
      </c>
      <c r="B146" s="11"/>
      <c r="C146" s="11"/>
      <c r="D146" s="11"/>
      <c r="E146" s="11">
        <v>285</v>
      </c>
      <c r="F146" s="11">
        <f>555379+42500</f>
        <v>597879</v>
      </c>
      <c r="G146" s="11">
        <v>293</v>
      </c>
      <c r="H146" s="11"/>
      <c r="I146" s="11">
        <v>352</v>
      </c>
      <c r="J146" s="11">
        <v>256</v>
      </c>
      <c r="K146" s="11">
        <f t="shared" si="19"/>
        <v>599065</v>
      </c>
      <c r="L146" s="10" t="s">
        <v>33</v>
      </c>
      <c r="M146" s="23">
        <f>+K146</f>
        <v>599065</v>
      </c>
    </row>
    <row r="147" spans="1:13" ht="12.75">
      <c r="A147" s="9" t="s">
        <v>31</v>
      </c>
      <c r="B147" s="11">
        <v>158956</v>
      </c>
      <c r="C147" s="11">
        <v>253800</v>
      </c>
      <c r="D147" s="11">
        <v>29000</v>
      </c>
      <c r="E147" s="11"/>
      <c r="F147" s="11"/>
      <c r="G147" s="11"/>
      <c r="H147" s="11"/>
      <c r="I147" s="11">
        <v>1121370</v>
      </c>
      <c r="J147" s="11"/>
      <c r="K147" s="11">
        <f t="shared" si="19"/>
        <v>1563126</v>
      </c>
      <c r="L147" s="10" t="s">
        <v>10</v>
      </c>
      <c r="M147" s="23">
        <f>+K147*1.5</f>
        <v>2344689</v>
      </c>
    </row>
    <row r="148" spans="1:13" ht="12.75">
      <c r="A148" s="9" t="s">
        <v>32</v>
      </c>
      <c r="B148" s="11"/>
      <c r="C148" s="11">
        <v>58520</v>
      </c>
      <c r="D148" s="11"/>
      <c r="E148" s="11"/>
      <c r="F148" s="11">
        <v>766000</v>
      </c>
      <c r="G148" s="11"/>
      <c r="H148" s="11"/>
      <c r="I148" s="11"/>
      <c r="J148" s="11"/>
      <c r="K148" s="11">
        <f t="shared" si="19"/>
        <v>824520</v>
      </c>
      <c r="L148" s="10" t="s">
        <v>10</v>
      </c>
      <c r="M148" s="23">
        <f>+K148*2</f>
        <v>1649040</v>
      </c>
    </row>
    <row r="149" spans="1:13" ht="12.75">
      <c r="A149" s="9" t="s">
        <v>29</v>
      </c>
      <c r="B149" s="11">
        <v>6200576</v>
      </c>
      <c r="C149" s="71">
        <v>1314692</v>
      </c>
      <c r="D149" s="64">
        <f>435292+259660+295300+425200</f>
        <v>1415452</v>
      </c>
      <c r="E149" s="11">
        <v>112400</v>
      </c>
      <c r="F149" s="11">
        <v>15774</v>
      </c>
      <c r="G149" s="11">
        <v>354000</v>
      </c>
      <c r="H149" s="11">
        <v>905740</v>
      </c>
      <c r="I149" s="11">
        <v>116876</v>
      </c>
      <c r="J149" s="11"/>
      <c r="K149" s="11">
        <f t="shared" si="19"/>
        <v>10435510</v>
      </c>
      <c r="L149" s="10" t="s">
        <v>12</v>
      </c>
      <c r="M149" s="23"/>
    </row>
    <row r="150" spans="1:13" ht="12.75">
      <c r="A150" s="9" t="s">
        <v>30</v>
      </c>
      <c r="B150" s="11">
        <v>648584</v>
      </c>
      <c r="C150" s="71"/>
      <c r="D150" s="66"/>
      <c r="E150" s="11">
        <v>570</v>
      </c>
      <c r="F150" s="11">
        <v>528120</v>
      </c>
      <c r="G150" s="11">
        <v>13500</v>
      </c>
      <c r="H150" s="11">
        <v>86704</v>
      </c>
      <c r="I150" s="11">
        <v>7103</v>
      </c>
      <c r="J150" s="11"/>
      <c r="K150" s="11">
        <f t="shared" si="19"/>
        <v>1284581</v>
      </c>
      <c r="L150" s="10" t="s">
        <v>11</v>
      </c>
      <c r="M150" s="23"/>
    </row>
    <row r="151" spans="1:13" ht="12.75">
      <c r="A151" s="9" t="s">
        <v>38</v>
      </c>
      <c r="B151" s="11">
        <v>2130066</v>
      </c>
      <c r="C151" s="72">
        <v>24389640</v>
      </c>
      <c r="D151" s="66">
        <v>147000</v>
      </c>
      <c r="E151" s="11">
        <v>42237</v>
      </c>
      <c r="F151" s="11"/>
      <c r="G151" s="11">
        <v>301000</v>
      </c>
      <c r="H151" s="11"/>
      <c r="I151" s="11">
        <v>1456896</v>
      </c>
      <c r="J151" s="11"/>
      <c r="K151" s="11">
        <f t="shared" si="19"/>
        <v>28466839</v>
      </c>
      <c r="L151" s="10" t="s">
        <v>24</v>
      </c>
      <c r="M151" s="23"/>
    </row>
    <row r="152" spans="1:13" ht="12.75">
      <c r="A152" s="18" t="s">
        <v>60</v>
      </c>
      <c r="B152" s="11"/>
      <c r="C152" s="73"/>
      <c r="D152" s="66"/>
      <c r="E152" s="11">
        <v>479376</v>
      </c>
      <c r="F152" s="19"/>
      <c r="G152" s="11">
        <v>714400</v>
      </c>
      <c r="H152" s="11"/>
      <c r="I152" s="11"/>
      <c r="J152" s="11"/>
      <c r="K152" s="19">
        <f>SUM(B152:J152)</f>
        <v>1193776</v>
      </c>
      <c r="L152" s="21"/>
      <c r="M152" s="23"/>
    </row>
    <row r="153" spans="1:13" ht="13.5" thickBot="1">
      <c r="A153" s="20" t="s">
        <v>35</v>
      </c>
      <c r="B153" s="12"/>
      <c r="C153" s="12"/>
      <c r="D153" s="66">
        <v>757</v>
      </c>
      <c r="E153" s="12">
        <v>528</v>
      </c>
      <c r="F153" s="85"/>
      <c r="G153" s="12">
        <v>352</v>
      </c>
      <c r="H153" s="12"/>
      <c r="I153" s="12"/>
      <c r="J153" s="12"/>
      <c r="K153" s="44">
        <f>B153+C153+D153+E153+F152+G153+H153+I153+J153</f>
        <v>1637</v>
      </c>
      <c r="L153" s="42"/>
      <c r="M153" s="43"/>
    </row>
    <row r="154" ht="12.75">
      <c r="A154" t="s">
        <v>75</v>
      </c>
    </row>
    <row r="155" spans="1:5" ht="12.75">
      <c r="A155" t="s">
        <v>76</v>
      </c>
      <c r="E155" t="s">
        <v>59</v>
      </c>
    </row>
    <row r="157" spans="1:5" ht="15.75">
      <c r="A157" s="86" t="s">
        <v>81</v>
      </c>
      <c r="C157" s="86" t="s">
        <v>91</v>
      </c>
      <c r="D157" s="86"/>
      <c r="E157" s="86"/>
    </row>
    <row r="158" ht="13.5" thickBot="1">
      <c r="F158" s="14"/>
    </row>
    <row r="159" spans="1:13" ht="15.75">
      <c r="A159" s="8" t="s">
        <v>0</v>
      </c>
      <c r="B159" s="24" t="s">
        <v>1</v>
      </c>
      <c r="C159" s="24" t="s">
        <v>2</v>
      </c>
      <c r="D159" s="24" t="s">
        <v>3</v>
      </c>
      <c r="E159" s="24" t="s">
        <v>22</v>
      </c>
      <c r="F159" s="80" t="s">
        <v>23</v>
      </c>
      <c r="G159" s="24" t="s">
        <v>4</v>
      </c>
      <c r="H159" s="24" t="s">
        <v>5</v>
      </c>
      <c r="I159" s="24" t="s">
        <v>6</v>
      </c>
      <c r="J159" s="24" t="s">
        <v>7</v>
      </c>
      <c r="K159" s="25" t="s">
        <v>8</v>
      </c>
      <c r="L159" s="26" t="s">
        <v>9</v>
      </c>
      <c r="M159" s="22" t="s">
        <v>41</v>
      </c>
    </row>
    <row r="160" spans="1:13" ht="12.75">
      <c r="A160" s="9" t="s">
        <v>42</v>
      </c>
      <c r="B160" s="11">
        <f>3890+595</f>
        <v>4485</v>
      </c>
      <c r="C160" s="11">
        <v>426</v>
      </c>
      <c r="D160" s="11">
        <v>339</v>
      </c>
      <c r="E160" s="11">
        <v>150</v>
      </c>
      <c r="F160" s="11">
        <v>572</v>
      </c>
      <c r="G160" s="11"/>
      <c r="H160" s="11">
        <v>1286</v>
      </c>
      <c r="I160" s="11">
        <v>130</v>
      </c>
      <c r="J160" s="11">
        <v>80</v>
      </c>
      <c r="K160" s="11">
        <f aca="true" t="shared" si="20" ref="K160:K177">SUM(B160:J160)</f>
        <v>7468</v>
      </c>
      <c r="L160" s="10" t="s">
        <v>10</v>
      </c>
      <c r="M160" s="23"/>
    </row>
    <row r="161" spans="1:13" ht="12.75">
      <c r="A161" s="9" t="s">
        <v>43</v>
      </c>
      <c r="B161" s="11">
        <v>1403</v>
      </c>
      <c r="C161" s="11">
        <v>225</v>
      </c>
      <c r="D161" s="11">
        <v>140</v>
      </c>
      <c r="E161" s="11">
        <v>150</v>
      </c>
      <c r="F161" s="11">
        <v>179</v>
      </c>
      <c r="G161" s="11">
        <v>107</v>
      </c>
      <c r="H161" s="11">
        <v>570</v>
      </c>
      <c r="I161" s="11">
        <v>27</v>
      </c>
      <c r="J161" s="11">
        <v>71</v>
      </c>
      <c r="K161" s="11">
        <f t="shared" si="20"/>
        <v>2872</v>
      </c>
      <c r="L161" s="10" t="s">
        <v>10</v>
      </c>
      <c r="M161" s="23">
        <f>+K161*205</f>
        <v>588760</v>
      </c>
    </row>
    <row r="162" spans="1:13" ht="12.75">
      <c r="A162" s="9" t="s">
        <v>44</v>
      </c>
      <c r="B162" s="11">
        <v>3932</v>
      </c>
      <c r="C162" s="11">
        <v>11601</v>
      </c>
      <c r="D162" s="11">
        <v>71</v>
      </c>
      <c r="E162" s="11">
        <v>900</v>
      </c>
      <c r="F162" s="11">
        <v>990</v>
      </c>
      <c r="G162" s="11"/>
      <c r="H162" s="11">
        <v>506</v>
      </c>
      <c r="I162" s="11">
        <v>1445</v>
      </c>
      <c r="J162" s="11">
        <v>1247</v>
      </c>
      <c r="K162" s="11">
        <f t="shared" si="20"/>
        <v>20692</v>
      </c>
      <c r="L162" s="10" t="s">
        <v>10</v>
      </c>
      <c r="M162" s="23"/>
    </row>
    <row r="163" spans="1:13" ht="12.75">
      <c r="A163" s="9" t="s">
        <v>45</v>
      </c>
      <c r="B163" s="11">
        <v>3688</v>
      </c>
      <c r="C163" s="11">
        <v>11485</v>
      </c>
      <c r="D163" s="11">
        <v>20</v>
      </c>
      <c r="E163" s="11">
        <v>900</v>
      </c>
      <c r="F163" s="11">
        <v>952</v>
      </c>
      <c r="G163" s="11">
        <v>300</v>
      </c>
      <c r="H163" s="11">
        <v>506</v>
      </c>
      <c r="I163" s="11">
        <v>1445</v>
      </c>
      <c r="J163" s="11">
        <v>1230</v>
      </c>
      <c r="K163" s="11">
        <f t="shared" si="20"/>
        <v>20526</v>
      </c>
      <c r="L163" s="10" t="s">
        <v>10</v>
      </c>
      <c r="M163" s="23">
        <f>+K163*50</f>
        <v>1026300</v>
      </c>
    </row>
    <row r="164" spans="1:13" ht="12.75">
      <c r="A164" s="9" t="s">
        <v>46</v>
      </c>
      <c r="B164" s="11">
        <v>6281</v>
      </c>
      <c r="C164" s="11">
        <v>321</v>
      </c>
      <c r="D164" s="11">
        <v>135</v>
      </c>
      <c r="E164" s="11">
        <v>20</v>
      </c>
      <c r="F164" s="11">
        <v>11</v>
      </c>
      <c r="G164" s="11"/>
      <c r="H164" s="11">
        <v>1025</v>
      </c>
      <c r="I164" s="11">
        <v>1132</v>
      </c>
      <c r="J164" s="11">
        <v>14</v>
      </c>
      <c r="K164" s="11">
        <f t="shared" si="20"/>
        <v>8939</v>
      </c>
      <c r="L164" s="10" t="s">
        <v>10</v>
      </c>
      <c r="M164" s="23"/>
    </row>
    <row r="165" spans="1:13" ht="12.75">
      <c r="A165" s="9" t="s">
        <v>47</v>
      </c>
      <c r="B165" s="11">
        <v>6170</v>
      </c>
      <c r="C165" s="36">
        <v>321</v>
      </c>
      <c r="D165" s="11">
        <v>135</v>
      </c>
      <c r="E165" s="11">
        <v>20</v>
      </c>
      <c r="F165" s="11">
        <v>11</v>
      </c>
      <c r="G165" s="11"/>
      <c r="H165" s="11">
        <v>1025</v>
      </c>
      <c r="I165" s="11">
        <v>1132</v>
      </c>
      <c r="J165" s="11"/>
      <c r="K165" s="11">
        <f t="shared" si="20"/>
        <v>8814</v>
      </c>
      <c r="L165" s="10" t="s">
        <v>10</v>
      </c>
      <c r="M165" s="23">
        <f>+K165*11</f>
        <v>96954</v>
      </c>
    </row>
    <row r="166" spans="1:13" ht="12.75">
      <c r="A166" s="9" t="s">
        <v>48</v>
      </c>
      <c r="B166" s="11">
        <v>1429</v>
      </c>
      <c r="C166" s="11">
        <v>56</v>
      </c>
      <c r="D166" s="11">
        <v>52</v>
      </c>
      <c r="E166" s="11">
        <v>39</v>
      </c>
      <c r="F166" s="11"/>
      <c r="G166" s="11"/>
      <c r="H166" s="11">
        <v>226</v>
      </c>
      <c r="I166" s="11">
        <v>597</v>
      </c>
      <c r="J166" s="11"/>
      <c r="K166" s="11">
        <f t="shared" si="20"/>
        <v>2399</v>
      </c>
      <c r="L166" s="10" t="s">
        <v>10</v>
      </c>
      <c r="M166" s="23"/>
    </row>
    <row r="167" spans="1:13" ht="12.75">
      <c r="A167" s="9" t="s">
        <v>49</v>
      </c>
      <c r="B167" s="11">
        <v>1391</v>
      </c>
      <c r="C167" s="11">
        <v>55</v>
      </c>
      <c r="D167" s="11">
        <v>52</v>
      </c>
      <c r="E167" s="11">
        <v>39</v>
      </c>
      <c r="F167" s="11"/>
      <c r="G167" s="11"/>
      <c r="H167" s="11">
        <v>226</v>
      </c>
      <c r="I167" s="11">
        <v>597</v>
      </c>
      <c r="J167" s="11"/>
      <c r="K167" s="11">
        <f t="shared" si="20"/>
        <v>2360</v>
      </c>
      <c r="L167" s="10" t="s">
        <v>10</v>
      </c>
      <c r="M167" s="23">
        <f>+K167*12</f>
        <v>28320</v>
      </c>
    </row>
    <row r="168" spans="1:13" ht="12.75">
      <c r="A168" s="18" t="s">
        <v>63</v>
      </c>
      <c r="B168" s="11"/>
      <c r="C168" s="11"/>
      <c r="D168" s="11"/>
      <c r="E168" s="11"/>
      <c r="F168" s="11"/>
      <c r="G168" s="11"/>
      <c r="H168" s="11">
        <v>2</v>
      </c>
      <c r="I168" s="11"/>
      <c r="J168" s="11"/>
      <c r="K168" s="11">
        <f t="shared" si="20"/>
        <v>2</v>
      </c>
      <c r="L168" s="10" t="s">
        <v>10</v>
      </c>
      <c r="M168" s="23">
        <f>+K168*12</f>
        <v>24</v>
      </c>
    </row>
    <row r="169" spans="1:13" ht="12.75">
      <c r="A169" s="18" t="s">
        <v>63</v>
      </c>
      <c r="B169" s="11"/>
      <c r="C169" s="11"/>
      <c r="D169" s="11"/>
      <c r="E169" s="11"/>
      <c r="F169" s="11"/>
      <c r="G169" s="11"/>
      <c r="H169" s="11">
        <v>2</v>
      </c>
      <c r="I169" s="11"/>
      <c r="J169" s="11"/>
      <c r="K169" s="11">
        <f t="shared" si="20"/>
        <v>2</v>
      </c>
      <c r="L169" s="10" t="s">
        <v>10</v>
      </c>
      <c r="M169" s="23">
        <f>+K169*12</f>
        <v>24</v>
      </c>
    </row>
    <row r="170" spans="1:13" ht="12.75">
      <c r="A170" s="9" t="s">
        <v>27</v>
      </c>
      <c r="B170" s="11"/>
      <c r="C170" s="11"/>
      <c r="D170" s="11"/>
      <c r="E170" s="11"/>
      <c r="F170" s="11"/>
      <c r="G170" s="11">
        <v>145</v>
      </c>
      <c r="H170" s="11"/>
      <c r="I170" s="11">
        <v>210</v>
      </c>
      <c r="J170" s="11">
        <v>135</v>
      </c>
      <c r="K170" s="11">
        <f t="shared" si="20"/>
        <v>490</v>
      </c>
      <c r="L170" s="10" t="s">
        <v>10</v>
      </c>
      <c r="M170" s="23"/>
    </row>
    <row r="171" spans="1:13" ht="12.75">
      <c r="A171" s="9" t="s">
        <v>28</v>
      </c>
      <c r="B171" s="11"/>
      <c r="C171" s="11"/>
      <c r="D171" s="11"/>
      <c r="E171" s="11"/>
      <c r="F171" s="11">
        <v>810573</v>
      </c>
      <c r="G171" s="11">
        <v>232</v>
      </c>
      <c r="H171" s="11"/>
      <c r="I171" s="11">
        <v>336</v>
      </c>
      <c r="J171" s="11">
        <v>243</v>
      </c>
      <c r="K171" s="11">
        <f t="shared" si="20"/>
        <v>811384</v>
      </c>
      <c r="L171" s="10" t="s">
        <v>33</v>
      </c>
      <c r="M171" s="23">
        <f>+K171</f>
        <v>811384</v>
      </c>
    </row>
    <row r="172" spans="1:13" ht="12.75">
      <c r="A172" s="9" t="s">
        <v>31</v>
      </c>
      <c r="B172" s="11">
        <v>148500</v>
      </c>
      <c r="C172" s="11"/>
      <c r="D172" s="11"/>
      <c r="E172" s="11"/>
      <c r="F172" s="11"/>
      <c r="G172" s="11">
        <v>529500</v>
      </c>
      <c r="H172" s="11"/>
      <c r="I172" s="11">
        <v>1526336</v>
      </c>
      <c r="J172" s="11"/>
      <c r="K172" s="11">
        <f t="shared" si="20"/>
        <v>2204336</v>
      </c>
      <c r="L172" s="10" t="s">
        <v>10</v>
      </c>
      <c r="M172" s="23">
        <f>+K172*1.5</f>
        <v>3306504</v>
      </c>
    </row>
    <row r="173" spans="1:13" ht="12.75">
      <c r="A173" s="9" t="s">
        <v>32</v>
      </c>
      <c r="B173" s="11">
        <v>9650</v>
      </c>
      <c r="C173" s="11">
        <v>51940</v>
      </c>
      <c r="D173" s="11"/>
      <c r="E173" s="11"/>
      <c r="F173" s="11">
        <v>958030</v>
      </c>
      <c r="G173" s="11">
        <v>3500</v>
      </c>
      <c r="H173" s="11"/>
      <c r="I173" s="11"/>
      <c r="J173" s="11"/>
      <c r="K173" s="11">
        <f t="shared" si="20"/>
        <v>1023120</v>
      </c>
      <c r="L173" s="10" t="s">
        <v>10</v>
      </c>
      <c r="M173" s="23">
        <f>+K173*2</f>
        <v>2046240</v>
      </c>
    </row>
    <row r="174" spans="1:13" ht="12.75">
      <c r="A174" s="9" t="s">
        <v>29</v>
      </c>
      <c r="B174" s="11">
        <v>6623920</v>
      </c>
      <c r="C174" s="11">
        <v>1311728</v>
      </c>
      <c r="D174" s="11">
        <v>1415452</v>
      </c>
      <c r="E174" s="11">
        <v>116150</v>
      </c>
      <c r="F174" s="11">
        <v>15775</v>
      </c>
      <c r="G174" s="11">
        <v>314247</v>
      </c>
      <c r="H174" s="11">
        <v>914676</v>
      </c>
      <c r="I174" s="11">
        <v>125788</v>
      </c>
      <c r="J174" s="11"/>
      <c r="K174" s="11">
        <f t="shared" si="20"/>
        <v>10837736</v>
      </c>
      <c r="L174" s="10" t="s">
        <v>12</v>
      </c>
      <c r="M174" s="23"/>
    </row>
    <row r="175" spans="1:13" ht="12.75">
      <c r="A175" s="9" t="s">
        <v>30</v>
      </c>
      <c r="B175" s="11">
        <v>597188</v>
      </c>
      <c r="C175" s="11"/>
      <c r="D175" s="11"/>
      <c r="E175" s="11">
        <v>589</v>
      </c>
      <c r="F175" s="11">
        <v>512460</v>
      </c>
      <c r="G175" s="11">
        <v>13640</v>
      </c>
      <c r="H175" s="11">
        <v>94303</v>
      </c>
      <c r="I175" s="11">
        <v>7100</v>
      </c>
      <c r="J175" s="11"/>
      <c r="K175" s="11">
        <f t="shared" si="20"/>
        <v>1225280</v>
      </c>
      <c r="L175" s="10" t="s">
        <v>11</v>
      </c>
      <c r="M175" s="23"/>
    </row>
    <row r="176" spans="1:13" ht="12.75">
      <c r="A176" s="9" t="s">
        <v>38</v>
      </c>
      <c r="B176" s="11">
        <v>2109136</v>
      </c>
      <c r="C176" s="11">
        <v>25154700</v>
      </c>
      <c r="D176" s="11">
        <v>146980</v>
      </c>
      <c r="E176" s="11">
        <v>44207</v>
      </c>
      <c r="F176" s="11"/>
      <c r="G176" s="11">
        <v>275831</v>
      </c>
      <c r="H176" s="11"/>
      <c r="I176" s="11">
        <v>1196896</v>
      </c>
      <c r="J176" s="11"/>
      <c r="K176" s="11">
        <f t="shared" si="20"/>
        <v>28927750</v>
      </c>
      <c r="L176" s="10" t="s">
        <v>24</v>
      </c>
      <c r="M176" s="23"/>
    </row>
    <row r="177" spans="1:13" ht="12.75">
      <c r="A177" s="18" t="s">
        <v>60</v>
      </c>
      <c r="B177" s="11"/>
      <c r="C177" s="11"/>
      <c r="D177" s="11"/>
      <c r="E177" s="11">
        <v>479376</v>
      </c>
      <c r="F177" s="19"/>
      <c r="G177" s="11">
        <v>835200</v>
      </c>
      <c r="H177" s="11"/>
      <c r="I177" s="11"/>
      <c r="J177" s="11"/>
      <c r="K177" s="11">
        <f t="shared" si="20"/>
        <v>1314576</v>
      </c>
      <c r="L177" s="21"/>
      <c r="M177" s="23"/>
    </row>
    <row r="178" spans="1:13" ht="13.5" thickBot="1">
      <c r="A178" s="20" t="s">
        <v>35</v>
      </c>
      <c r="B178" s="12"/>
      <c r="C178" s="12"/>
      <c r="D178" s="12">
        <v>345</v>
      </c>
      <c r="E178" s="12">
        <v>529</v>
      </c>
      <c r="F178" s="85"/>
      <c r="G178" s="12">
        <v>403</v>
      </c>
      <c r="H178" s="12"/>
      <c r="I178" s="12"/>
      <c r="J178" s="12"/>
      <c r="K178" s="12">
        <f>B178+C178+D178+E178+F177+G178+H178+J178</f>
        <v>1277</v>
      </c>
      <c r="L178" s="42"/>
      <c r="M178" s="43"/>
    </row>
    <row r="179" ht="12.75">
      <c r="A179" t="s">
        <v>75</v>
      </c>
    </row>
    <row r="180" spans="1:5" ht="12.75">
      <c r="A180" t="s">
        <v>76</v>
      </c>
      <c r="E180" t="s">
        <v>59</v>
      </c>
    </row>
    <row r="182" spans="1:6" ht="15.75">
      <c r="A182" s="86" t="s">
        <v>82</v>
      </c>
      <c r="D182" s="86" t="s">
        <v>91</v>
      </c>
      <c r="E182" s="86"/>
      <c r="F182" s="86"/>
    </row>
    <row r="183" ht="13.5" thickBot="1">
      <c r="F183" s="14"/>
    </row>
    <row r="184" spans="1:13" ht="15.75">
      <c r="A184" s="8" t="s">
        <v>0</v>
      </c>
      <c r="B184" s="24" t="s">
        <v>1</v>
      </c>
      <c r="C184" s="24" t="s">
        <v>2</v>
      </c>
      <c r="D184" s="24" t="s">
        <v>3</v>
      </c>
      <c r="E184" s="24" t="s">
        <v>22</v>
      </c>
      <c r="F184" s="80" t="s">
        <v>23</v>
      </c>
      <c r="G184" s="24" t="s">
        <v>4</v>
      </c>
      <c r="H184" s="24" t="s">
        <v>5</v>
      </c>
      <c r="I184" s="24" t="s">
        <v>6</v>
      </c>
      <c r="J184" s="24" t="s">
        <v>7</v>
      </c>
      <c r="K184" s="25" t="s">
        <v>8</v>
      </c>
      <c r="L184" s="26" t="s">
        <v>9</v>
      </c>
      <c r="M184" s="22" t="s">
        <v>41</v>
      </c>
    </row>
    <row r="185" spans="1:13" ht="12.75">
      <c r="A185" s="9" t="s">
        <v>42</v>
      </c>
      <c r="B185" s="11">
        <v>3986</v>
      </c>
      <c r="C185" s="11">
        <v>580</v>
      </c>
      <c r="D185" s="11">
        <v>208</v>
      </c>
      <c r="E185" s="11"/>
      <c r="F185" s="11">
        <v>662</v>
      </c>
      <c r="G185" s="11">
        <v>307</v>
      </c>
      <c r="H185" s="11">
        <v>1052</v>
      </c>
      <c r="I185" s="11">
        <v>235</v>
      </c>
      <c r="J185" s="11">
        <v>114</v>
      </c>
      <c r="K185" s="11">
        <f aca="true" t="shared" si="21" ref="K185:K203">SUM(B185:J185)</f>
        <v>7144</v>
      </c>
      <c r="L185" s="10" t="s">
        <v>10</v>
      </c>
      <c r="M185" s="23"/>
    </row>
    <row r="186" spans="1:13" ht="12.75">
      <c r="A186" s="9" t="s">
        <v>43</v>
      </c>
      <c r="B186" s="11">
        <v>1018</v>
      </c>
      <c r="C186" s="11">
        <v>477</v>
      </c>
      <c r="D186" s="11">
        <v>78</v>
      </c>
      <c r="E186" s="11">
        <v>80</v>
      </c>
      <c r="F186" s="11">
        <v>352</v>
      </c>
      <c r="G186" s="11">
        <v>135</v>
      </c>
      <c r="H186" s="11">
        <v>591</v>
      </c>
      <c r="I186" s="11">
        <v>80</v>
      </c>
      <c r="J186" s="11">
        <v>76</v>
      </c>
      <c r="K186" s="11">
        <f t="shared" si="21"/>
        <v>2887</v>
      </c>
      <c r="L186" s="10" t="s">
        <v>10</v>
      </c>
      <c r="M186" s="23">
        <f>+K186*205</f>
        <v>591835</v>
      </c>
    </row>
    <row r="187" spans="1:13" ht="12.75">
      <c r="A187" s="9" t="s">
        <v>44</v>
      </c>
      <c r="B187" s="11">
        <v>3281</v>
      </c>
      <c r="C187" s="11">
        <v>13706</v>
      </c>
      <c r="D187" s="11">
        <v>98</v>
      </c>
      <c r="E187" s="11"/>
      <c r="F187" s="11">
        <v>3608</v>
      </c>
      <c r="G187" s="11">
        <v>1038</v>
      </c>
      <c r="H187" s="11">
        <v>467</v>
      </c>
      <c r="I187" s="11">
        <v>1444</v>
      </c>
      <c r="J187" s="11">
        <v>956</v>
      </c>
      <c r="K187" s="11">
        <f t="shared" si="21"/>
        <v>24598</v>
      </c>
      <c r="L187" s="10" t="s">
        <v>10</v>
      </c>
      <c r="M187" s="23"/>
    </row>
    <row r="188" spans="1:13" ht="12.75">
      <c r="A188" s="9" t="s">
        <v>45</v>
      </c>
      <c r="B188" s="11">
        <v>3059</v>
      </c>
      <c r="C188" s="11">
        <v>13566</v>
      </c>
      <c r="D188" s="11">
        <v>98</v>
      </c>
      <c r="E188" s="11">
        <v>960</v>
      </c>
      <c r="F188" s="11">
        <v>2911</v>
      </c>
      <c r="G188" s="11">
        <v>277</v>
      </c>
      <c r="H188" s="11">
        <v>467</v>
      </c>
      <c r="I188" s="11">
        <v>1443</v>
      </c>
      <c r="J188" s="11">
        <v>941</v>
      </c>
      <c r="K188" s="11">
        <f t="shared" si="21"/>
        <v>23722</v>
      </c>
      <c r="L188" s="10" t="s">
        <v>10</v>
      </c>
      <c r="M188" s="23">
        <f>+K188*50</f>
        <v>1186100</v>
      </c>
    </row>
    <row r="189" spans="1:13" ht="12.75">
      <c r="A189" s="9" t="s">
        <v>46</v>
      </c>
      <c r="B189" s="11">
        <v>7371</v>
      </c>
      <c r="C189" s="11">
        <v>389</v>
      </c>
      <c r="D189" s="11">
        <v>161</v>
      </c>
      <c r="E189" s="11"/>
      <c r="F189" s="11"/>
      <c r="G189" s="11"/>
      <c r="H189" s="11">
        <v>1055</v>
      </c>
      <c r="I189" s="11">
        <v>1380</v>
      </c>
      <c r="J189" s="11"/>
      <c r="K189" s="11">
        <f t="shared" si="21"/>
        <v>10356</v>
      </c>
      <c r="L189" s="10" t="s">
        <v>10</v>
      </c>
      <c r="M189" s="23"/>
    </row>
    <row r="190" spans="1:13" ht="12.75">
      <c r="A190" s="9" t="s">
        <v>47</v>
      </c>
      <c r="B190" s="11">
        <v>7255</v>
      </c>
      <c r="C190" s="36">
        <v>389</v>
      </c>
      <c r="D190" s="11">
        <v>161</v>
      </c>
      <c r="E190" s="11">
        <v>20</v>
      </c>
      <c r="F190" s="11"/>
      <c r="G190" s="11"/>
      <c r="H190" s="11">
        <v>1055</v>
      </c>
      <c r="I190" s="11">
        <v>1380</v>
      </c>
      <c r="J190" s="11"/>
      <c r="K190" s="11">
        <f t="shared" si="21"/>
        <v>10260</v>
      </c>
      <c r="L190" s="10" t="s">
        <v>10</v>
      </c>
      <c r="M190" s="23">
        <f>+K190*11</f>
        <v>112860</v>
      </c>
    </row>
    <row r="191" spans="1:13" ht="12.75">
      <c r="A191" s="9" t="s">
        <v>48</v>
      </c>
      <c r="B191" s="11">
        <v>1509</v>
      </c>
      <c r="C191" s="11">
        <v>53</v>
      </c>
      <c r="D191" s="11">
        <v>91</v>
      </c>
      <c r="E191" s="11"/>
      <c r="F191" s="11"/>
      <c r="G191" s="11"/>
      <c r="H191" s="11">
        <v>278</v>
      </c>
      <c r="I191" s="11">
        <v>180</v>
      </c>
      <c r="J191" s="11">
        <v>30</v>
      </c>
      <c r="K191" s="11">
        <f t="shared" si="21"/>
        <v>2141</v>
      </c>
      <c r="L191" s="10" t="s">
        <v>10</v>
      </c>
      <c r="M191" s="23"/>
    </row>
    <row r="192" spans="1:13" ht="12.75">
      <c r="A192" s="9" t="s">
        <v>49</v>
      </c>
      <c r="B192" s="11">
        <v>1470</v>
      </c>
      <c r="C192" s="11">
        <v>52</v>
      </c>
      <c r="D192" s="11">
        <v>91</v>
      </c>
      <c r="E192" s="11">
        <v>40</v>
      </c>
      <c r="F192" s="11">
        <v>36</v>
      </c>
      <c r="G192" s="11"/>
      <c r="H192" s="11">
        <v>278</v>
      </c>
      <c r="I192" s="11">
        <v>180</v>
      </c>
      <c r="J192" s="11"/>
      <c r="K192" s="11">
        <f t="shared" si="21"/>
        <v>2147</v>
      </c>
      <c r="L192" s="10" t="s">
        <v>10</v>
      </c>
      <c r="M192" s="23">
        <f>+K192*12</f>
        <v>25764</v>
      </c>
    </row>
    <row r="193" spans="1:13" ht="12.75">
      <c r="A193" s="18" t="s">
        <v>63</v>
      </c>
      <c r="B193" s="11">
        <v>54</v>
      </c>
      <c r="C193" s="11"/>
      <c r="D193" s="11"/>
      <c r="E193" s="11"/>
      <c r="F193" s="11">
        <v>8</v>
      </c>
      <c r="G193" s="11"/>
      <c r="H193" s="11"/>
      <c r="I193" s="11"/>
      <c r="J193" s="11"/>
      <c r="K193" s="11">
        <f t="shared" si="21"/>
        <v>62</v>
      </c>
      <c r="L193" s="10" t="s">
        <v>10</v>
      </c>
      <c r="M193" s="23">
        <f>+K193*12</f>
        <v>744</v>
      </c>
    </row>
    <row r="194" spans="1:13" ht="12.75">
      <c r="A194" s="18" t="s">
        <v>63</v>
      </c>
      <c r="B194" s="11">
        <v>4</v>
      </c>
      <c r="C194" s="11"/>
      <c r="D194" s="11"/>
      <c r="E194" s="11"/>
      <c r="F194" s="11"/>
      <c r="G194" s="11"/>
      <c r="H194" s="11"/>
      <c r="I194" s="11"/>
      <c r="J194" s="11"/>
      <c r="K194" s="11">
        <f t="shared" si="21"/>
        <v>4</v>
      </c>
      <c r="L194" s="10" t="s">
        <v>10</v>
      </c>
      <c r="M194" s="23">
        <f>+K194*12</f>
        <v>48</v>
      </c>
    </row>
    <row r="195" spans="1:13" ht="12.75">
      <c r="A195" s="9" t="s">
        <v>27</v>
      </c>
      <c r="B195" s="11"/>
      <c r="C195" s="11"/>
      <c r="D195" s="11"/>
      <c r="E195" s="11"/>
      <c r="F195" s="11"/>
      <c r="G195" s="11">
        <v>238</v>
      </c>
      <c r="H195" s="11"/>
      <c r="I195" s="11">
        <v>212</v>
      </c>
      <c r="J195" s="11">
        <v>136</v>
      </c>
      <c r="K195" s="11">
        <f t="shared" si="21"/>
        <v>586</v>
      </c>
      <c r="L195" s="10" t="s">
        <v>10</v>
      </c>
      <c r="M195" s="23"/>
    </row>
    <row r="196" spans="1:13" ht="12.75">
      <c r="A196" s="9" t="s">
        <v>28</v>
      </c>
      <c r="B196" s="11"/>
      <c r="C196" s="11"/>
      <c r="D196" s="11"/>
      <c r="E196" s="11"/>
      <c r="F196" s="11">
        <v>329654</v>
      </c>
      <c r="G196" s="11">
        <v>358</v>
      </c>
      <c r="H196" s="11"/>
      <c r="I196" s="11">
        <v>330</v>
      </c>
      <c r="J196" s="11">
        <v>245</v>
      </c>
      <c r="K196" s="11">
        <f t="shared" si="21"/>
        <v>330587</v>
      </c>
      <c r="L196" s="10" t="s">
        <v>33</v>
      </c>
      <c r="M196" s="23">
        <f>+K196</f>
        <v>330587</v>
      </c>
    </row>
    <row r="197" spans="1:13" ht="12.75">
      <c r="A197" s="9" t="s">
        <v>31</v>
      </c>
      <c r="B197" s="11">
        <f>1200+135000+700+1800</f>
        <v>138700</v>
      </c>
      <c r="C197" s="11">
        <v>261836</v>
      </c>
      <c r="D197" s="11">
        <v>31000</v>
      </c>
      <c r="E197" s="11"/>
      <c r="F197" s="11"/>
      <c r="G197" s="11"/>
      <c r="H197" s="11"/>
      <c r="I197" s="11">
        <v>1705958</v>
      </c>
      <c r="J197" s="11"/>
      <c r="K197" s="11">
        <f t="shared" si="21"/>
        <v>2137494</v>
      </c>
      <c r="L197" s="10" t="s">
        <v>10</v>
      </c>
      <c r="M197" s="23">
        <f>+K197*1.5</f>
        <v>3206241</v>
      </c>
    </row>
    <row r="198" spans="1:13" ht="12.75">
      <c r="A198" s="9" t="s">
        <v>32</v>
      </c>
      <c r="B198" s="11">
        <f>1200+3500+3100+100+4350</f>
        <v>12250</v>
      </c>
      <c r="C198" s="11">
        <v>61610</v>
      </c>
      <c r="D198" s="11"/>
      <c r="E198" s="11"/>
      <c r="F198" s="11">
        <v>977130</v>
      </c>
      <c r="G198" s="11">
        <v>2900</v>
      </c>
      <c r="H198" s="11"/>
      <c r="I198" s="11">
        <v>200</v>
      </c>
      <c r="J198" s="11"/>
      <c r="K198" s="11">
        <f t="shared" si="21"/>
        <v>1054090</v>
      </c>
      <c r="L198" s="10" t="s">
        <v>10</v>
      </c>
      <c r="M198" s="23">
        <f>+K198*2</f>
        <v>2108180</v>
      </c>
    </row>
    <row r="199" spans="1:13" ht="12.75">
      <c r="A199" s="9" t="s">
        <v>29</v>
      </c>
      <c r="B199" s="11">
        <v>5673415</v>
      </c>
      <c r="C199" s="11">
        <v>1302252</v>
      </c>
      <c r="D199" s="11">
        <v>1415322</v>
      </c>
      <c r="E199" s="11">
        <v>116000</v>
      </c>
      <c r="F199" s="11">
        <v>16872</v>
      </c>
      <c r="G199" s="11">
        <v>316200</v>
      </c>
      <c r="H199" s="11">
        <v>1121126</v>
      </c>
      <c r="I199" s="11">
        <v>157142</v>
      </c>
      <c r="J199" s="11"/>
      <c r="K199" s="11">
        <f t="shared" si="21"/>
        <v>10118329</v>
      </c>
      <c r="L199" s="10" t="s">
        <v>12</v>
      </c>
      <c r="M199" s="23"/>
    </row>
    <row r="200" spans="1:13" ht="12.75">
      <c r="A200" s="9" t="s">
        <v>30</v>
      </c>
      <c r="B200" s="11">
        <v>661707</v>
      </c>
      <c r="C200" s="11"/>
      <c r="D200" s="11"/>
      <c r="E200" s="11">
        <v>589</v>
      </c>
      <c r="F200" s="11">
        <v>493875</v>
      </c>
      <c r="G200" s="11">
        <v>12400</v>
      </c>
      <c r="H200" s="11">
        <v>94303</v>
      </c>
      <c r="I200" s="11">
        <v>10298</v>
      </c>
      <c r="J200" s="11"/>
      <c r="K200" s="11">
        <f t="shared" si="21"/>
        <v>1273172</v>
      </c>
      <c r="L200" s="10" t="s">
        <v>11</v>
      </c>
      <c r="M200" s="23"/>
    </row>
    <row r="201" spans="1:13" ht="12.75">
      <c r="A201" s="9" t="s">
        <v>38</v>
      </c>
      <c r="B201" s="11">
        <v>2265068</v>
      </c>
      <c r="C201" s="11">
        <v>24869160</v>
      </c>
      <c r="D201" s="11">
        <v>163800</v>
      </c>
      <c r="E201" s="11">
        <v>33570</v>
      </c>
      <c r="F201" s="11"/>
      <c r="G201" s="11">
        <v>283180</v>
      </c>
      <c r="H201" s="11"/>
      <c r="I201" s="11">
        <v>1207050</v>
      </c>
      <c r="J201" s="11"/>
      <c r="K201" s="11">
        <f t="shared" si="21"/>
        <v>28821828</v>
      </c>
      <c r="L201" s="10" t="s">
        <v>24</v>
      </c>
      <c r="M201" s="23"/>
    </row>
    <row r="202" spans="1:13" ht="12.75">
      <c r="A202" s="18" t="s">
        <v>60</v>
      </c>
      <c r="B202" s="11"/>
      <c r="C202" s="11"/>
      <c r="D202" s="11"/>
      <c r="E202" s="11">
        <v>1323130</v>
      </c>
      <c r="F202" s="19"/>
      <c r="G202" s="11">
        <v>835200</v>
      </c>
      <c r="H202" s="11"/>
      <c r="I202" s="11"/>
      <c r="J202" s="11"/>
      <c r="K202" s="11">
        <f t="shared" si="21"/>
        <v>2158330</v>
      </c>
      <c r="L202" s="21"/>
      <c r="M202" s="23"/>
    </row>
    <row r="203" spans="1:13" ht="13.5" thickBot="1">
      <c r="A203" s="20" t="s">
        <v>35</v>
      </c>
      <c r="B203" s="12"/>
      <c r="C203" s="12"/>
      <c r="D203" s="12">
        <v>365</v>
      </c>
      <c r="E203" s="12"/>
      <c r="F203" s="85"/>
      <c r="G203" s="12">
        <v>403</v>
      </c>
      <c r="H203" s="12"/>
      <c r="I203" s="12"/>
      <c r="J203" s="12"/>
      <c r="K203" s="12">
        <f t="shared" si="21"/>
        <v>768</v>
      </c>
      <c r="L203" s="42"/>
      <c r="M203" s="43"/>
    </row>
    <row r="204" ht="12.75">
      <c r="A204" t="s">
        <v>75</v>
      </c>
    </row>
    <row r="205" spans="1:5" ht="12.75">
      <c r="A205" t="s">
        <v>76</v>
      </c>
      <c r="E205" t="s">
        <v>59</v>
      </c>
    </row>
    <row r="207" spans="1:6" ht="15.75">
      <c r="A207" s="86" t="s">
        <v>83</v>
      </c>
      <c r="D207" s="86" t="s">
        <v>91</v>
      </c>
      <c r="E207" s="86"/>
      <c r="F207" s="86"/>
    </row>
    <row r="208" ht="13.5" thickBot="1">
      <c r="F208" s="14"/>
    </row>
    <row r="209" spans="1:13" ht="15.75">
      <c r="A209" s="8" t="s">
        <v>0</v>
      </c>
      <c r="B209" s="24" t="s">
        <v>1</v>
      </c>
      <c r="C209" s="24" t="s">
        <v>2</v>
      </c>
      <c r="D209" s="24" t="s">
        <v>3</v>
      </c>
      <c r="E209" s="24" t="s">
        <v>22</v>
      </c>
      <c r="F209" s="80" t="s">
        <v>23</v>
      </c>
      <c r="G209" s="24" t="s">
        <v>4</v>
      </c>
      <c r="H209" s="24" t="s">
        <v>5</v>
      </c>
      <c r="I209" s="24" t="s">
        <v>6</v>
      </c>
      <c r="J209" s="24" t="s">
        <v>7</v>
      </c>
      <c r="K209" s="25" t="s">
        <v>8</v>
      </c>
      <c r="L209" s="26" t="s">
        <v>9</v>
      </c>
      <c r="M209" s="22" t="s">
        <v>41</v>
      </c>
    </row>
    <row r="210" spans="1:13" ht="12.75">
      <c r="A210" s="9" t="s">
        <v>42</v>
      </c>
      <c r="B210" s="11">
        <v>5034</v>
      </c>
      <c r="C210" s="11">
        <v>457</v>
      </c>
      <c r="D210" s="11">
        <v>352</v>
      </c>
      <c r="E210" s="11"/>
      <c r="F210" s="11">
        <v>972</v>
      </c>
      <c r="G210" s="11">
        <v>549</v>
      </c>
      <c r="H210" s="11">
        <v>1495</v>
      </c>
      <c r="I210" s="11">
        <v>299</v>
      </c>
      <c r="J210" s="11">
        <v>51</v>
      </c>
      <c r="K210" s="11">
        <f aca="true" t="shared" si="22" ref="K210:K226">SUM(B210:J210)</f>
        <v>9209</v>
      </c>
      <c r="L210" s="10" t="s">
        <v>10</v>
      </c>
      <c r="M210" s="23"/>
    </row>
    <row r="211" spans="1:13" ht="12.75">
      <c r="A211" s="9" t="s">
        <v>43</v>
      </c>
      <c r="B211" s="11">
        <v>2015</v>
      </c>
      <c r="C211" s="11">
        <v>384</v>
      </c>
      <c r="D211" s="11">
        <v>119</v>
      </c>
      <c r="E211" s="11">
        <v>55</v>
      </c>
      <c r="F211" s="11">
        <v>425</v>
      </c>
      <c r="G211" s="11">
        <v>167</v>
      </c>
      <c r="H211" s="11">
        <v>676</v>
      </c>
      <c r="I211" s="11">
        <v>35</v>
      </c>
      <c r="J211" s="11">
        <v>39</v>
      </c>
      <c r="K211" s="11">
        <f t="shared" si="22"/>
        <v>3915</v>
      </c>
      <c r="L211" s="10" t="s">
        <v>10</v>
      </c>
      <c r="M211" s="23">
        <f>+K211*205</f>
        <v>802575</v>
      </c>
    </row>
    <row r="212" spans="1:13" ht="12.75">
      <c r="A212" s="9" t="s">
        <v>44</v>
      </c>
      <c r="B212" s="11">
        <v>4530</v>
      </c>
      <c r="C212" s="11">
        <v>13523</v>
      </c>
      <c r="D212" s="11">
        <v>63</v>
      </c>
      <c r="E212" s="11"/>
      <c r="F212" s="11">
        <v>1156</v>
      </c>
      <c r="G212" s="11">
        <v>414</v>
      </c>
      <c r="H212" s="11">
        <v>595</v>
      </c>
      <c r="I212" s="11">
        <v>1215</v>
      </c>
      <c r="J212" s="11">
        <v>1116</v>
      </c>
      <c r="K212" s="11">
        <f t="shared" si="22"/>
        <v>22612</v>
      </c>
      <c r="L212" s="10" t="s">
        <v>10</v>
      </c>
      <c r="M212" s="23"/>
    </row>
    <row r="213" spans="1:13" ht="12.75">
      <c r="A213" s="9" t="s">
        <v>45</v>
      </c>
      <c r="B213" s="11">
        <v>4167</v>
      </c>
      <c r="C213" s="11">
        <v>13347</v>
      </c>
      <c r="D213" s="11">
        <v>63</v>
      </c>
      <c r="E213" s="11">
        <v>1020</v>
      </c>
      <c r="F213" s="11">
        <v>1156</v>
      </c>
      <c r="G213" s="11">
        <v>307</v>
      </c>
      <c r="H213" s="11">
        <v>595</v>
      </c>
      <c r="I213" s="11">
        <v>1215</v>
      </c>
      <c r="J213" s="11">
        <v>991</v>
      </c>
      <c r="K213" s="11">
        <f t="shared" si="22"/>
        <v>22861</v>
      </c>
      <c r="L213" s="10" t="s">
        <v>10</v>
      </c>
      <c r="M213" s="23">
        <f>+K213*50</f>
        <v>1143050</v>
      </c>
    </row>
    <row r="214" spans="1:13" ht="12.75">
      <c r="A214" s="9" t="s">
        <v>46</v>
      </c>
      <c r="B214" s="11">
        <v>4791</v>
      </c>
      <c r="C214" s="11">
        <v>398</v>
      </c>
      <c r="D214" s="11">
        <v>260</v>
      </c>
      <c r="E214" s="11">
        <v>40</v>
      </c>
      <c r="F214" s="11">
        <v>1156</v>
      </c>
      <c r="G214" s="11">
        <v>37</v>
      </c>
      <c r="H214" s="11">
        <v>1094</v>
      </c>
      <c r="I214" s="11">
        <v>1230</v>
      </c>
      <c r="J214" s="11"/>
      <c r="K214" s="11">
        <f t="shared" si="22"/>
        <v>9006</v>
      </c>
      <c r="L214" s="10" t="s">
        <v>10</v>
      </c>
      <c r="M214" s="23"/>
    </row>
    <row r="215" spans="1:13" ht="12.75">
      <c r="A215" s="9" t="s">
        <v>47</v>
      </c>
      <c r="B215" s="11">
        <v>4747</v>
      </c>
      <c r="C215" s="36">
        <v>398</v>
      </c>
      <c r="D215" s="11">
        <v>131</v>
      </c>
      <c r="E215" s="11">
        <v>40</v>
      </c>
      <c r="F215" s="11">
        <v>2</v>
      </c>
      <c r="G215" s="11"/>
      <c r="H215" s="11">
        <v>1094</v>
      </c>
      <c r="I215" s="11">
        <v>1230</v>
      </c>
      <c r="J215" s="11"/>
      <c r="K215" s="11">
        <f t="shared" si="22"/>
        <v>7642</v>
      </c>
      <c r="L215" s="10" t="s">
        <v>10</v>
      </c>
      <c r="M215" s="23">
        <f>+K215*11</f>
        <v>84062</v>
      </c>
    </row>
    <row r="216" spans="1:13" ht="12.75">
      <c r="A216" s="9" t="s">
        <v>48</v>
      </c>
      <c r="B216" s="11">
        <v>895</v>
      </c>
      <c r="C216" s="11">
        <v>65</v>
      </c>
      <c r="D216" s="11">
        <v>146</v>
      </c>
      <c r="E216" s="11">
        <v>40</v>
      </c>
      <c r="F216" s="11">
        <v>2</v>
      </c>
      <c r="G216" s="11"/>
      <c r="H216" s="11">
        <v>332</v>
      </c>
      <c r="I216" s="11">
        <v>140</v>
      </c>
      <c r="J216" s="11"/>
      <c r="K216" s="11">
        <f t="shared" si="22"/>
        <v>1620</v>
      </c>
      <c r="L216" s="10" t="s">
        <v>10</v>
      </c>
      <c r="M216" s="23"/>
    </row>
    <row r="217" spans="1:13" ht="12.75">
      <c r="A217" s="9" t="s">
        <v>49</v>
      </c>
      <c r="B217" s="11">
        <v>882</v>
      </c>
      <c r="C217" s="11">
        <v>65</v>
      </c>
      <c r="D217" s="11">
        <v>146</v>
      </c>
      <c r="E217" s="11">
        <v>40</v>
      </c>
      <c r="F217" s="11">
        <v>70</v>
      </c>
      <c r="G217" s="11"/>
      <c r="H217" s="11">
        <v>332</v>
      </c>
      <c r="I217" s="11">
        <v>140</v>
      </c>
      <c r="J217" s="11"/>
      <c r="K217" s="11">
        <f t="shared" si="22"/>
        <v>1675</v>
      </c>
      <c r="L217" s="10" t="s">
        <v>10</v>
      </c>
      <c r="M217" s="23">
        <f>+K217*12</f>
        <v>20100</v>
      </c>
    </row>
    <row r="218" spans="1:13" ht="12.75">
      <c r="A218" s="18" t="s">
        <v>68</v>
      </c>
      <c r="B218" s="11"/>
      <c r="C218" s="11"/>
      <c r="D218" s="11"/>
      <c r="E218" s="11"/>
      <c r="F218" s="11">
        <v>2</v>
      </c>
      <c r="G218" s="11">
        <v>5</v>
      </c>
      <c r="H218" s="11"/>
      <c r="I218" s="11"/>
      <c r="J218" s="11"/>
      <c r="K218" s="11">
        <f t="shared" si="22"/>
        <v>7</v>
      </c>
      <c r="L218" s="10" t="s">
        <v>10</v>
      </c>
      <c r="M218" s="23">
        <f>+K218*12</f>
        <v>84</v>
      </c>
    </row>
    <row r="219" spans="1:13" ht="12.75">
      <c r="A219" s="18" t="s">
        <v>69</v>
      </c>
      <c r="B219" s="11"/>
      <c r="C219" s="11"/>
      <c r="D219" s="11"/>
      <c r="E219" s="11"/>
      <c r="F219" s="11"/>
      <c r="G219" s="11">
        <v>1</v>
      </c>
      <c r="H219" s="11"/>
      <c r="I219" s="11"/>
      <c r="J219" s="11"/>
      <c r="K219" s="11">
        <f t="shared" si="22"/>
        <v>1</v>
      </c>
      <c r="L219" s="10" t="s">
        <v>10</v>
      </c>
      <c r="M219" s="23">
        <f>+K219*12</f>
        <v>12</v>
      </c>
    </row>
    <row r="220" spans="1:13" ht="12.75">
      <c r="A220" s="9" t="s">
        <v>27</v>
      </c>
      <c r="B220" s="11"/>
      <c r="C220" s="11"/>
      <c r="D220" s="11"/>
      <c r="E220" s="11">
        <v>150</v>
      </c>
      <c r="F220" s="11"/>
      <c r="G220" s="11">
        <v>237</v>
      </c>
      <c r="H220" s="11"/>
      <c r="I220" s="11">
        <v>190</v>
      </c>
      <c r="J220" s="11">
        <v>134</v>
      </c>
      <c r="K220" s="11">
        <f t="shared" si="22"/>
        <v>711</v>
      </c>
      <c r="L220" s="10" t="s">
        <v>10</v>
      </c>
      <c r="M220" s="23"/>
    </row>
    <row r="221" spans="1:13" ht="12.75">
      <c r="A221" s="9" t="s">
        <v>28</v>
      </c>
      <c r="B221" s="11"/>
      <c r="C221" s="11"/>
      <c r="D221" s="11"/>
      <c r="E221" s="11"/>
      <c r="F221" s="11">
        <f>92500+908484</f>
        <v>1000984</v>
      </c>
      <c r="G221" s="11">
        <v>356</v>
      </c>
      <c r="H221" s="11"/>
      <c r="I221" s="11">
        <v>342</v>
      </c>
      <c r="J221" s="11">
        <v>228</v>
      </c>
      <c r="K221" s="11">
        <f t="shared" si="22"/>
        <v>1001910</v>
      </c>
      <c r="L221" s="10" t="s">
        <v>33</v>
      </c>
      <c r="M221" s="23">
        <f>+K221</f>
        <v>1001910</v>
      </c>
    </row>
    <row r="222" spans="1:13" ht="12.75">
      <c r="A222" s="9" t="s">
        <v>31</v>
      </c>
      <c r="B222" s="11">
        <f>18800+18000+500</f>
        <v>37300</v>
      </c>
      <c r="C222" s="11">
        <v>67632</v>
      </c>
      <c r="D222" s="11"/>
      <c r="E222" s="11"/>
      <c r="F222" s="11"/>
      <c r="G222" s="11">
        <v>375800</v>
      </c>
      <c r="H222" s="11">
        <v>1500</v>
      </c>
      <c r="I222" s="11">
        <v>1498945</v>
      </c>
      <c r="J222" s="11"/>
      <c r="K222" s="11">
        <f t="shared" si="22"/>
        <v>1981177</v>
      </c>
      <c r="L222" s="10" t="s">
        <v>10</v>
      </c>
      <c r="M222" s="23">
        <f>+K222*1.5</f>
        <v>2971765.5</v>
      </c>
    </row>
    <row r="223" spans="1:13" ht="12.75">
      <c r="A223" s="9" t="s">
        <v>32</v>
      </c>
      <c r="B223" s="11">
        <v>8700</v>
      </c>
      <c r="C223" s="11">
        <v>38820</v>
      </c>
      <c r="D223" s="11"/>
      <c r="E223" s="11"/>
      <c r="F223" s="11">
        <v>982900</v>
      </c>
      <c r="G223" s="11">
        <v>17228</v>
      </c>
      <c r="H223" s="11"/>
      <c r="I223" s="11"/>
      <c r="J223" s="11"/>
      <c r="K223" s="11">
        <f t="shared" si="22"/>
        <v>1047648</v>
      </c>
      <c r="L223" s="10" t="s">
        <v>10</v>
      </c>
      <c r="M223" s="23">
        <f>+K223*2</f>
        <v>2095296</v>
      </c>
    </row>
    <row r="224" spans="1:13" ht="12.75">
      <c r="A224" s="9" t="s">
        <v>29</v>
      </c>
      <c r="B224" s="11">
        <v>5051768</v>
      </c>
      <c r="C224" s="11">
        <v>1239550</v>
      </c>
      <c r="D224" s="11">
        <v>1596182</v>
      </c>
      <c r="E224" s="11">
        <v>121000</v>
      </c>
      <c r="F224" s="11">
        <v>15291</v>
      </c>
      <c r="G224" s="11">
        <v>344360</v>
      </c>
      <c r="H224" s="11">
        <v>1060274</v>
      </c>
      <c r="I224" s="11">
        <v>157056</v>
      </c>
      <c r="J224" s="11"/>
      <c r="K224" s="11">
        <f t="shared" si="22"/>
        <v>9585481</v>
      </c>
      <c r="L224" s="10" t="s">
        <v>12</v>
      </c>
      <c r="M224" s="23"/>
    </row>
    <row r="225" spans="1:13" ht="12.75">
      <c r="A225" s="9" t="s">
        <v>30</v>
      </c>
      <c r="B225" s="11">
        <v>516471</v>
      </c>
      <c r="C225" s="11"/>
      <c r="D225" s="11"/>
      <c r="E225" s="11">
        <v>1269</v>
      </c>
      <c r="F225" s="11">
        <v>486000</v>
      </c>
      <c r="G225" s="11">
        <v>9900</v>
      </c>
      <c r="H225" s="11">
        <v>91262</v>
      </c>
      <c r="I225" s="11">
        <v>11064</v>
      </c>
      <c r="J225" s="11"/>
      <c r="K225" s="11">
        <f t="shared" si="22"/>
        <v>1115966</v>
      </c>
      <c r="L225" s="10" t="s">
        <v>11</v>
      </c>
      <c r="M225" s="23"/>
    </row>
    <row r="226" spans="1:13" ht="12.75">
      <c r="A226" s="9" t="s">
        <v>38</v>
      </c>
      <c r="B226" s="11">
        <v>2668260</v>
      </c>
      <c r="C226" s="11">
        <v>23792400</v>
      </c>
      <c r="D226" s="11">
        <v>168120</v>
      </c>
      <c r="E226" s="11">
        <v>42202</v>
      </c>
      <c r="F226" s="11"/>
      <c r="G226" s="11">
        <v>274671</v>
      </c>
      <c r="H226" s="11"/>
      <c r="I226" s="11">
        <v>1121371</v>
      </c>
      <c r="J226" s="11"/>
      <c r="K226" s="11">
        <f t="shared" si="22"/>
        <v>28067024</v>
      </c>
      <c r="L226" s="10" t="s">
        <v>24</v>
      </c>
      <c r="M226" s="23"/>
    </row>
    <row r="227" spans="1:13" ht="12.75">
      <c r="A227" s="18" t="s">
        <v>60</v>
      </c>
      <c r="B227" s="11"/>
      <c r="C227" s="11"/>
      <c r="D227" s="11"/>
      <c r="E227" s="11">
        <v>1404756</v>
      </c>
      <c r="F227" s="19"/>
      <c r="G227" s="11">
        <v>790200</v>
      </c>
      <c r="H227" s="11"/>
      <c r="I227" s="11"/>
      <c r="J227" s="11"/>
      <c r="K227" s="19">
        <f>B227+C227+D227+E227+F226+G227+H227+I227+J227</f>
        <v>2194956</v>
      </c>
      <c r="L227" s="21"/>
      <c r="M227" s="23"/>
    </row>
    <row r="228" spans="1:13" ht="13.5" thickBot="1">
      <c r="A228" s="20" t="s">
        <v>35</v>
      </c>
      <c r="B228" s="12"/>
      <c r="C228" s="12"/>
      <c r="D228" s="12">
        <v>383</v>
      </c>
      <c r="E228" s="12"/>
      <c r="F228" s="85"/>
      <c r="G228" s="12">
        <v>580</v>
      </c>
      <c r="H228" s="12"/>
      <c r="I228" s="12"/>
      <c r="J228" s="12"/>
      <c r="K228" s="12">
        <f>C228+D228+E228+F227+G228+J228</f>
        <v>963</v>
      </c>
      <c r="L228" s="42"/>
      <c r="M228" s="43"/>
    </row>
    <row r="229" ht="12.75">
      <c r="A229" t="s">
        <v>75</v>
      </c>
    </row>
    <row r="230" spans="1:5" ht="12.75">
      <c r="A230" t="s">
        <v>76</v>
      </c>
      <c r="E230" t="s">
        <v>59</v>
      </c>
    </row>
    <row r="232" spans="1:6" ht="15.75">
      <c r="A232" s="86" t="s">
        <v>84</v>
      </c>
      <c r="D232" s="86" t="s">
        <v>91</v>
      </c>
      <c r="E232" s="86"/>
      <c r="F232" s="86"/>
    </row>
    <row r="233" ht="13.5" thickBot="1">
      <c r="F233" s="14"/>
    </row>
    <row r="234" spans="1:13" ht="15.75">
      <c r="A234" s="8" t="s">
        <v>0</v>
      </c>
      <c r="B234" s="24" t="s">
        <v>1</v>
      </c>
      <c r="C234" s="24" t="s">
        <v>2</v>
      </c>
      <c r="D234" s="24" t="s">
        <v>3</v>
      </c>
      <c r="E234" s="24" t="s">
        <v>22</v>
      </c>
      <c r="F234" s="93" t="s">
        <v>23</v>
      </c>
      <c r="G234" s="24" t="s">
        <v>4</v>
      </c>
      <c r="H234" s="24" t="s">
        <v>5</v>
      </c>
      <c r="I234" s="24" t="s">
        <v>6</v>
      </c>
      <c r="J234" s="24" t="s">
        <v>7</v>
      </c>
      <c r="K234" s="25" t="s">
        <v>8</v>
      </c>
      <c r="L234" s="26" t="s">
        <v>9</v>
      </c>
      <c r="M234" s="22" t="s">
        <v>41</v>
      </c>
    </row>
    <row r="235" spans="1:13" ht="12.75">
      <c r="A235" s="9" t="s">
        <v>42</v>
      </c>
      <c r="B235" s="11">
        <v>3006</v>
      </c>
      <c r="C235" s="11">
        <v>528</v>
      </c>
      <c r="D235" s="11">
        <f>125+43+12+12+188+29+14</f>
        <v>423</v>
      </c>
      <c r="E235" s="11"/>
      <c r="F235" s="11">
        <v>1013</v>
      </c>
      <c r="G235" s="11">
        <f>75+19+1+108+28+12</f>
        <v>243</v>
      </c>
      <c r="H235" s="11">
        <f>54+64+133+308+183+268</f>
        <v>1010</v>
      </c>
      <c r="I235" s="11">
        <v>44</v>
      </c>
      <c r="J235" s="11">
        <v>100</v>
      </c>
      <c r="K235" s="11">
        <f aca="true" t="shared" si="23" ref="K235:K251">SUM(B235:J235)</f>
        <v>6367</v>
      </c>
      <c r="L235" s="10" t="s">
        <v>10</v>
      </c>
      <c r="M235" s="23"/>
    </row>
    <row r="236" spans="1:13" ht="12.75">
      <c r="A236" s="9" t="s">
        <v>43</v>
      </c>
      <c r="B236" s="11">
        <v>1226</v>
      </c>
      <c r="C236" s="11">
        <v>420</v>
      </c>
      <c r="D236" s="11">
        <f>56+157+7+8</f>
        <v>228</v>
      </c>
      <c r="E236" s="11">
        <v>40</v>
      </c>
      <c r="F236" s="11">
        <v>405</v>
      </c>
      <c r="G236" s="11">
        <f>35+105+12</f>
        <v>152</v>
      </c>
      <c r="H236" s="11">
        <f>39+281+106</f>
        <v>426</v>
      </c>
      <c r="I236" s="11">
        <v>23</v>
      </c>
      <c r="J236" s="11">
        <v>72</v>
      </c>
      <c r="K236" s="11">
        <f t="shared" si="23"/>
        <v>2992</v>
      </c>
      <c r="L236" s="10" t="s">
        <v>10</v>
      </c>
      <c r="M236" s="23">
        <f>+K236*205</f>
        <v>613360</v>
      </c>
    </row>
    <row r="237" spans="1:13" ht="12.75">
      <c r="A237" s="9" t="s">
        <v>44</v>
      </c>
      <c r="B237" s="11">
        <v>5813</v>
      </c>
      <c r="C237" s="11">
        <v>13794</v>
      </c>
      <c r="D237" s="11">
        <v>116</v>
      </c>
      <c r="E237" s="11"/>
      <c r="F237" s="11">
        <v>2032</v>
      </c>
      <c r="G237" s="11">
        <f>340+21+1+1100</f>
        <v>1462</v>
      </c>
      <c r="H237" s="11">
        <v>2</v>
      </c>
      <c r="I237" s="11">
        <v>1730</v>
      </c>
      <c r="J237" s="11">
        <v>1407</v>
      </c>
      <c r="K237" s="11">
        <f t="shared" si="23"/>
        <v>26356</v>
      </c>
      <c r="L237" s="10" t="s">
        <v>10</v>
      </c>
      <c r="M237" s="23"/>
    </row>
    <row r="238" spans="1:13" ht="12.75">
      <c r="A238" s="9" t="s">
        <v>45</v>
      </c>
      <c r="B238" s="11">
        <v>5807</v>
      </c>
      <c r="C238" s="11">
        <v>13652</v>
      </c>
      <c r="D238" s="11">
        <v>116</v>
      </c>
      <c r="E238" s="11">
        <v>1019</v>
      </c>
      <c r="F238" s="11">
        <v>1599</v>
      </c>
      <c r="G238" s="11">
        <v>362</v>
      </c>
      <c r="H238" s="11">
        <v>2</v>
      </c>
      <c r="I238" s="11">
        <v>1492</v>
      </c>
      <c r="J238" s="11">
        <v>1307</v>
      </c>
      <c r="K238" s="11">
        <f t="shared" si="23"/>
        <v>25356</v>
      </c>
      <c r="L238" s="10" t="s">
        <v>10</v>
      </c>
      <c r="M238" s="23">
        <f>+K238*50</f>
        <v>1267800</v>
      </c>
    </row>
    <row r="239" spans="1:13" ht="12.75">
      <c r="A239" s="9" t="s">
        <v>46</v>
      </c>
      <c r="B239" s="11">
        <v>3462</v>
      </c>
      <c r="C239" s="11">
        <v>399</v>
      </c>
      <c r="D239" s="11">
        <v>115</v>
      </c>
      <c r="E239" s="11">
        <v>39</v>
      </c>
      <c r="F239" s="11">
        <v>1</v>
      </c>
      <c r="G239" s="11"/>
      <c r="H239" s="11">
        <v>1120</v>
      </c>
      <c r="I239" s="11">
        <v>1400</v>
      </c>
      <c r="J239" s="11"/>
      <c r="K239" s="11">
        <f t="shared" si="23"/>
        <v>6536</v>
      </c>
      <c r="L239" s="10" t="s">
        <v>10</v>
      </c>
      <c r="M239" s="23"/>
    </row>
    <row r="240" spans="1:13" ht="12.75">
      <c r="A240" s="9" t="s">
        <v>47</v>
      </c>
      <c r="B240" s="11">
        <v>3462</v>
      </c>
      <c r="C240" s="36">
        <v>399</v>
      </c>
      <c r="D240" s="11">
        <v>115</v>
      </c>
      <c r="E240" s="11">
        <v>39</v>
      </c>
      <c r="F240" s="11">
        <v>1</v>
      </c>
      <c r="G240" s="11"/>
      <c r="H240" s="11">
        <v>1120</v>
      </c>
      <c r="I240" s="11">
        <v>1400</v>
      </c>
      <c r="J240" s="11"/>
      <c r="K240" s="11">
        <f t="shared" si="23"/>
        <v>6536</v>
      </c>
      <c r="L240" s="10" t="s">
        <v>10</v>
      </c>
      <c r="M240" s="23">
        <f>+K240*11</f>
        <v>71896</v>
      </c>
    </row>
    <row r="241" spans="1:13" ht="12.75">
      <c r="A241" s="9" t="s">
        <v>48</v>
      </c>
      <c r="B241" s="11">
        <v>731</v>
      </c>
      <c r="C241" s="11">
        <v>68</v>
      </c>
      <c r="D241" s="11">
        <v>65</v>
      </c>
      <c r="E241" s="11">
        <v>38</v>
      </c>
      <c r="F241" s="11"/>
      <c r="G241" s="11"/>
      <c r="H241" s="11">
        <v>343</v>
      </c>
      <c r="I241" s="11">
        <v>300</v>
      </c>
      <c r="J241" s="11"/>
      <c r="K241" s="11">
        <f t="shared" si="23"/>
        <v>1545</v>
      </c>
      <c r="L241" s="10" t="s">
        <v>10</v>
      </c>
      <c r="M241" s="23"/>
    </row>
    <row r="242" spans="1:13" ht="12.75">
      <c r="A242" s="9" t="s">
        <v>49</v>
      </c>
      <c r="B242" s="11">
        <v>688</v>
      </c>
      <c r="C242" s="11">
        <v>68</v>
      </c>
      <c r="D242" s="11">
        <v>65</v>
      </c>
      <c r="E242" s="11">
        <v>38</v>
      </c>
      <c r="F242" s="11">
        <v>21</v>
      </c>
      <c r="G242" s="11"/>
      <c r="H242" s="11">
        <v>343</v>
      </c>
      <c r="I242" s="11">
        <v>300</v>
      </c>
      <c r="J242" s="11"/>
      <c r="K242" s="11">
        <f t="shared" si="23"/>
        <v>1523</v>
      </c>
      <c r="L242" s="10" t="s">
        <v>10</v>
      </c>
      <c r="M242" s="23">
        <f>+K242*12</f>
        <v>18276</v>
      </c>
    </row>
    <row r="243" spans="1:13" ht="12.75">
      <c r="A243" s="18" t="s">
        <v>63</v>
      </c>
      <c r="B243" s="11"/>
      <c r="C243" s="11"/>
      <c r="D243" s="11"/>
      <c r="E243" s="11"/>
      <c r="F243" s="11"/>
      <c r="G243" s="11"/>
      <c r="H243" s="11"/>
      <c r="I243" s="11">
        <v>2</v>
      </c>
      <c r="J243" s="11"/>
      <c r="K243" s="11">
        <f t="shared" si="23"/>
        <v>2</v>
      </c>
      <c r="L243" s="10" t="s">
        <v>10</v>
      </c>
      <c r="M243" s="23">
        <f>+K243*12</f>
        <v>24</v>
      </c>
    </row>
    <row r="244" spans="1:13" ht="12.75">
      <c r="A244" s="18" t="s">
        <v>63</v>
      </c>
      <c r="B244" s="11"/>
      <c r="C244" s="11"/>
      <c r="D244" s="11"/>
      <c r="E244" s="11"/>
      <c r="F244" s="11"/>
      <c r="G244" s="11"/>
      <c r="H244" s="11"/>
      <c r="I244" s="11">
        <v>2</v>
      </c>
      <c r="J244" s="11"/>
      <c r="K244" s="11">
        <f t="shared" si="23"/>
        <v>2</v>
      </c>
      <c r="L244" s="10" t="s">
        <v>10</v>
      </c>
      <c r="M244" s="23">
        <f>+K244*12</f>
        <v>24</v>
      </c>
    </row>
    <row r="245" spans="1:13" ht="12.75">
      <c r="A245" s="9" t="s">
        <v>27</v>
      </c>
      <c r="B245" s="11"/>
      <c r="C245" s="11"/>
      <c r="D245" s="11"/>
      <c r="E245" s="11"/>
      <c r="F245" s="11"/>
      <c r="G245" s="11">
        <v>210</v>
      </c>
      <c r="H245" s="11"/>
      <c r="I245" s="11">
        <v>150</v>
      </c>
      <c r="J245" s="11">
        <v>129</v>
      </c>
      <c r="K245" s="11">
        <f t="shared" si="23"/>
        <v>489</v>
      </c>
      <c r="L245" s="10" t="s">
        <v>10</v>
      </c>
      <c r="M245" s="23"/>
    </row>
    <row r="246" spans="1:13" ht="12.75">
      <c r="A246" s="9" t="s">
        <v>28</v>
      </c>
      <c r="B246" s="11"/>
      <c r="C246" s="11"/>
      <c r="D246" s="11"/>
      <c r="E246" s="11"/>
      <c r="F246" s="11">
        <v>622755</v>
      </c>
      <c r="G246" s="11">
        <v>315</v>
      </c>
      <c r="H246" s="11"/>
      <c r="I246" s="11">
        <v>240</v>
      </c>
      <c r="J246" s="11">
        <v>229</v>
      </c>
      <c r="K246" s="11">
        <f t="shared" si="23"/>
        <v>623539</v>
      </c>
      <c r="L246" s="10" t="s">
        <v>33</v>
      </c>
      <c r="M246" s="23">
        <f>+K246</f>
        <v>623539</v>
      </c>
    </row>
    <row r="247" spans="1:13" ht="12.75">
      <c r="A247" s="9" t="s">
        <v>31</v>
      </c>
      <c r="B247" s="11">
        <f>122500+1000+2424</f>
        <v>125924</v>
      </c>
      <c r="C247" s="11">
        <v>218110</v>
      </c>
      <c r="D247" s="11">
        <v>36400</v>
      </c>
      <c r="E247" s="11"/>
      <c r="F247" s="11"/>
      <c r="G247" s="11">
        <v>187730</v>
      </c>
      <c r="H247" s="11"/>
      <c r="I247" s="11">
        <v>1976522</v>
      </c>
      <c r="J247" s="11"/>
      <c r="K247" s="11">
        <f t="shared" si="23"/>
        <v>2544686</v>
      </c>
      <c r="L247" s="10" t="s">
        <v>10</v>
      </c>
      <c r="M247" s="23">
        <f>+K247*1.5</f>
        <v>3817029</v>
      </c>
    </row>
    <row r="248" spans="1:13" ht="12.75">
      <c r="A248" s="9" t="s">
        <v>32</v>
      </c>
      <c r="B248" s="11">
        <f>1500+500+600+1200</f>
        <v>3800</v>
      </c>
      <c r="C248" s="11">
        <v>34710</v>
      </c>
      <c r="D248" s="11"/>
      <c r="E248" s="11"/>
      <c r="F248" s="11">
        <v>897800</v>
      </c>
      <c r="G248" s="11">
        <v>3000</v>
      </c>
      <c r="H248" s="11"/>
      <c r="I248" s="11"/>
      <c r="J248" s="11"/>
      <c r="K248" s="11">
        <f t="shared" si="23"/>
        <v>939310</v>
      </c>
      <c r="L248" s="10" t="s">
        <v>10</v>
      </c>
      <c r="M248" s="23">
        <f>+K248*2</f>
        <v>1878620</v>
      </c>
    </row>
    <row r="249" spans="1:13" ht="12.75">
      <c r="A249" s="9" t="s">
        <v>29</v>
      </c>
      <c r="B249" s="11">
        <v>5812424</v>
      </c>
      <c r="C249" s="11">
        <v>1454075</v>
      </c>
      <c r="D249" s="11">
        <v>1596180</v>
      </c>
      <c r="E249" s="11">
        <v>126000</v>
      </c>
      <c r="F249" s="11">
        <v>12305</v>
      </c>
      <c r="G249" s="11">
        <v>306900</v>
      </c>
      <c r="H249" s="11">
        <v>1046825</v>
      </c>
      <c r="I249" s="11">
        <v>145776</v>
      </c>
      <c r="J249" s="11"/>
      <c r="K249" s="11">
        <f t="shared" si="23"/>
        <v>10500485</v>
      </c>
      <c r="L249" s="10" t="s">
        <v>12</v>
      </c>
      <c r="M249" s="23"/>
    </row>
    <row r="250" spans="1:13" ht="12.75">
      <c r="A250" s="9" t="s">
        <v>30</v>
      </c>
      <c r="B250" s="11">
        <v>525053</v>
      </c>
      <c r="C250" s="11"/>
      <c r="D250" s="11"/>
      <c r="E250" s="11">
        <v>1302</v>
      </c>
      <c r="F250" s="11">
        <v>485998</v>
      </c>
      <c r="G250" s="11">
        <v>13020</v>
      </c>
      <c r="H250" s="11">
        <v>104346</v>
      </c>
      <c r="I250" s="11">
        <v>10662</v>
      </c>
      <c r="J250" s="11"/>
      <c r="K250" s="11">
        <f t="shared" si="23"/>
        <v>1140381</v>
      </c>
      <c r="L250" s="10" t="s">
        <v>11</v>
      </c>
      <c r="M250" s="23"/>
    </row>
    <row r="251" spans="1:13" ht="12.75">
      <c r="A251" s="9" t="s">
        <v>38</v>
      </c>
      <c r="B251" s="11">
        <v>2086498</v>
      </c>
      <c r="C251" s="11">
        <v>23791000</v>
      </c>
      <c r="D251" s="11">
        <v>168000</v>
      </c>
      <c r="E251" s="11">
        <v>42207</v>
      </c>
      <c r="F251" s="11"/>
      <c r="G251" s="11">
        <v>340012</v>
      </c>
      <c r="H251" s="11"/>
      <c r="I251" s="11">
        <v>1120500</v>
      </c>
      <c r="J251" s="11"/>
      <c r="K251" s="11">
        <f t="shared" si="23"/>
        <v>27548217</v>
      </c>
      <c r="L251" s="10" t="s">
        <v>24</v>
      </c>
      <c r="M251" s="23"/>
    </row>
    <row r="252" spans="1:13" ht="12.75">
      <c r="A252" s="18" t="s">
        <v>60</v>
      </c>
      <c r="B252" s="11"/>
      <c r="C252" s="11"/>
      <c r="D252" s="11"/>
      <c r="E252" s="11">
        <v>1404636</v>
      </c>
      <c r="F252" s="19">
        <v>650</v>
      </c>
      <c r="G252" s="11">
        <v>748800</v>
      </c>
      <c r="H252" s="11"/>
      <c r="I252" s="11"/>
      <c r="J252" s="11"/>
      <c r="K252" s="19">
        <f>B252+C252+D252+E252+F251+G252+H252+I252+J252</f>
        <v>2153436</v>
      </c>
      <c r="L252" s="21"/>
      <c r="M252" s="23"/>
    </row>
    <row r="253" spans="1:13" ht="13.5" thickBot="1">
      <c r="A253" s="20" t="s">
        <v>35</v>
      </c>
      <c r="B253" s="12"/>
      <c r="C253" s="12"/>
      <c r="D253" s="66">
        <v>363</v>
      </c>
      <c r="E253" s="12"/>
      <c r="F253" s="85"/>
      <c r="G253" s="12">
        <v>390</v>
      </c>
      <c r="H253" s="12"/>
      <c r="I253" s="12">
        <v>11850</v>
      </c>
      <c r="J253" s="12"/>
      <c r="K253" s="12">
        <f>B253+C253+D253+J253</f>
        <v>363</v>
      </c>
      <c r="L253" s="42"/>
      <c r="M253" s="43"/>
    </row>
    <row r="254" ht="12.75">
      <c r="A254" t="s">
        <v>87</v>
      </c>
    </row>
    <row r="255" spans="1:5" ht="12.75">
      <c r="A255" t="s">
        <v>76</v>
      </c>
      <c r="E255" t="s">
        <v>59</v>
      </c>
    </row>
    <row r="257" spans="1:6" ht="15.75">
      <c r="A257" s="86" t="s">
        <v>85</v>
      </c>
      <c r="D257" s="86" t="s">
        <v>91</v>
      </c>
      <c r="E257" s="86"/>
      <c r="F257" s="86"/>
    </row>
    <row r="258" ht="13.5" thickBot="1">
      <c r="F258" s="94"/>
    </row>
    <row r="259" spans="1:13" ht="15.75">
      <c r="A259" s="8" t="s">
        <v>0</v>
      </c>
      <c r="B259" s="24" t="s">
        <v>1</v>
      </c>
      <c r="C259" s="24" t="s">
        <v>2</v>
      </c>
      <c r="D259" s="24" t="s">
        <v>3</v>
      </c>
      <c r="E259" s="24" t="s">
        <v>22</v>
      </c>
      <c r="F259" s="93" t="s">
        <v>23</v>
      </c>
      <c r="G259" s="24" t="s">
        <v>4</v>
      </c>
      <c r="H259" s="74" t="s">
        <v>5</v>
      </c>
      <c r="I259" s="24" t="s">
        <v>6</v>
      </c>
      <c r="J259" s="24" t="s">
        <v>7</v>
      </c>
      <c r="K259" s="25" t="s">
        <v>8</v>
      </c>
      <c r="L259" s="26" t="s">
        <v>9</v>
      </c>
      <c r="M259" s="22" t="s">
        <v>41</v>
      </c>
    </row>
    <row r="260" spans="1:13" ht="12.75">
      <c r="A260" s="9" t="s">
        <v>42</v>
      </c>
      <c r="B260" s="11">
        <v>1763</v>
      </c>
      <c r="C260" s="11">
        <v>422</v>
      </c>
      <c r="D260" s="11">
        <v>540</v>
      </c>
      <c r="E260" s="11"/>
      <c r="F260" s="11">
        <f>17+24+48+77+11+71+119+20+10+6+44+41+111+15</f>
        <v>614</v>
      </c>
      <c r="G260" s="11">
        <v>292</v>
      </c>
      <c r="H260" s="11"/>
      <c r="I260" s="11">
        <f>17+72+4+37+88+7+43+4</f>
        <v>272</v>
      </c>
      <c r="J260" s="11">
        <v>16</v>
      </c>
      <c r="K260" s="11">
        <f aca="true" t="shared" si="24" ref="K260:K277">SUM(B260:J260)</f>
        <v>3919</v>
      </c>
      <c r="L260" s="10" t="s">
        <v>10</v>
      </c>
      <c r="M260" s="23"/>
    </row>
    <row r="261" spans="1:13" ht="12.75">
      <c r="A261" s="9" t="s">
        <v>43</v>
      </c>
      <c r="B261" s="11">
        <v>741</v>
      </c>
      <c r="C261" s="11">
        <v>403</v>
      </c>
      <c r="D261" s="11">
        <v>124</v>
      </c>
      <c r="E261" s="11">
        <v>120</v>
      </c>
      <c r="F261" s="11">
        <f>51+5+6+39+34+17+24+48+77+11</f>
        <v>312</v>
      </c>
      <c r="G261" s="11">
        <v>159</v>
      </c>
      <c r="H261" s="11"/>
      <c r="I261" s="11">
        <f>36+71</f>
        <v>107</v>
      </c>
      <c r="J261" s="11">
        <v>14</v>
      </c>
      <c r="K261" s="11">
        <f t="shared" si="24"/>
        <v>1980</v>
      </c>
      <c r="L261" s="10" t="s">
        <v>10</v>
      </c>
      <c r="M261" s="23">
        <f>+K261*205</f>
        <v>405900</v>
      </c>
    </row>
    <row r="262" spans="1:13" ht="12.75">
      <c r="A262" s="9" t="s">
        <v>44</v>
      </c>
      <c r="B262" s="11">
        <v>5023</v>
      </c>
      <c r="C262" s="11">
        <v>14495</v>
      </c>
      <c r="D262" s="11">
        <v>239</v>
      </c>
      <c r="E262" s="11"/>
      <c r="F262" s="11">
        <f>71+465+3+1095</f>
        <v>1634</v>
      </c>
      <c r="G262" s="11">
        <v>1548</v>
      </c>
      <c r="H262" s="11"/>
      <c r="I262" s="11">
        <f>257+514+280+380+280</f>
        <v>1711</v>
      </c>
      <c r="J262" s="11">
        <v>1327</v>
      </c>
      <c r="K262" s="11">
        <f t="shared" si="24"/>
        <v>25977</v>
      </c>
      <c r="L262" s="10" t="s">
        <v>10</v>
      </c>
      <c r="M262" s="23"/>
    </row>
    <row r="263" spans="1:13" ht="12.75">
      <c r="A263" s="9" t="s">
        <v>45</v>
      </c>
      <c r="B263" s="11">
        <v>4615</v>
      </c>
      <c r="C263" s="11">
        <v>14375</v>
      </c>
      <c r="D263" s="11">
        <v>239</v>
      </c>
      <c r="E263" s="11">
        <v>510</v>
      </c>
      <c r="F263" s="11">
        <f>3+1095+71+465</f>
        <v>1634</v>
      </c>
      <c r="G263" s="11">
        <v>258</v>
      </c>
      <c r="H263" s="11">
        <v>398</v>
      </c>
      <c r="I263" s="11">
        <v>1711</v>
      </c>
      <c r="J263" s="11">
        <v>1267</v>
      </c>
      <c r="K263" s="11">
        <f t="shared" si="24"/>
        <v>25007</v>
      </c>
      <c r="L263" s="10" t="s">
        <v>10</v>
      </c>
      <c r="M263" s="23">
        <f>+K263*50</f>
        <v>1250350</v>
      </c>
    </row>
    <row r="264" spans="1:13" ht="12.75">
      <c r="A264" s="9" t="s">
        <v>46</v>
      </c>
      <c r="B264" s="11">
        <v>5606</v>
      </c>
      <c r="C264" s="11">
        <v>399</v>
      </c>
      <c r="D264" s="11">
        <v>115</v>
      </c>
      <c r="E264" s="11">
        <v>40</v>
      </c>
      <c r="F264" s="11"/>
      <c r="G264" s="11"/>
      <c r="H264" s="11">
        <v>1292</v>
      </c>
      <c r="I264" s="11">
        <v>1500</v>
      </c>
      <c r="J264" s="11"/>
      <c r="K264" s="11">
        <f t="shared" si="24"/>
        <v>8952</v>
      </c>
      <c r="L264" s="10" t="s">
        <v>10</v>
      </c>
      <c r="M264" s="23"/>
    </row>
    <row r="265" spans="1:13" ht="12.75">
      <c r="A265" s="9" t="s">
        <v>47</v>
      </c>
      <c r="B265" s="11">
        <v>5606</v>
      </c>
      <c r="C265" s="36">
        <v>398</v>
      </c>
      <c r="D265" s="11">
        <v>70</v>
      </c>
      <c r="E265" s="11">
        <v>40</v>
      </c>
      <c r="F265" s="11"/>
      <c r="G265" s="11"/>
      <c r="H265" s="11">
        <v>1292</v>
      </c>
      <c r="I265" s="11">
        <v>1500</v>
      </c>
      <c r="J265" s="11"/>
      <c r="K265" s="11">
        <f t="shared" si="24"/>
        <v>8906</v>
      </c>
      <c r="L265" s="10" t="s">
        <v>10</v>
      </c>
      <c r="M265" s="23">
        <f>+K265*11</f>
        <v>97966</v>
      </c>
    </row>
    <row r="266" spans="1:13" ht="12.75">
      <c r="A266" s="9" t="s">
        <v>48</v>
      </c>
      <c r="B266" s="11">
        <v>926</v>
      </c>
      <c r="C266" s="11">
        <v>86</v>
      </c>
      <c r="D266" s="11">
        <v>130</v>
      </c>
      <c r="E266" s="11">
        <v>40</v>
      </c>
      <c r="F266" s="11"/>
      <c r="G266" s="11"/>
      <c r="H266" s="11">
        <v>357</v>
      </c>
      <c r="I266" s="11">
        <v>380</v>
      </c>
      <c r="J266" s="11">
        <v>9</v>
      </c>
      <c r="K266" s="11">
        <f t="shared" si="24"/>
        <v>1928</v>
      </c>
      <c r="L266" s="10" t="s">
        <v>10</v>
      </c>
      <c r="M266" s="23"/>
    </row>
    <row r="267" spans="1:13" ht="12.75">
      <c r="A267" s="9" t="s">
        <v>49</v>
      </c>
      <c r="B267" s="11">
        <v>926</v>
      </c>
      <c r="C267" s="11">
        <v>86</v>
      </c>
      <c r="D267" s="11">
        <v>66</v>
      </c>
      <c r="E267" s="11">
        <v>40</v>
      </c>
      <c r="F267" s="11">
        <v>13</v>
      </c>
      <c r="G267" s="11"/>
      <c r="H267" s="11">
        <v>357</v>
      </c>
      <c r="I267" s="11">
        <v>380</v>
      </c>
      <c r="J267" s="11"/>
      <c r="K267" s="11">
        <f t="shared" si="24"/>
        <v>1868</v>
      </c>
      <c r="L267" s="10" t="s">
        <v>10</v>
      </c>
      <c r="M267" s="23">
        <f>+K267*12</f>
        <v>22416</v>
      </c>
    </row>
    <row r="268" spans="1:13" ht="12.75">
      <c r="A268" s="18" t="s">
        <v>63</v>
      </c>
      <c r="B268" s="11"/>
      <c r="C268" s="11"/>
      <c r="D268" s="11"/>
      <c r="E268" s="11"/>
      <c r="F268" s="11">
        <v>13</v>
      </c>
      <c r="G268" s="11"/>
      <c r="H268" s="11"/>
      <c r="I268" s="11"/>
      <c r="J268" s="11"/>
      <c r="K268" s="11">
        <f t="shared" si="24"/>
        <v>13</v>
      </c>
      <c r="L268" s="10" t="s">
        <v>10</v>
      </c>
      <c r="M268" s="23">
        <f>+K268*12</f>
        <v>156</v>
      </c>
    </row>
    <row r="269" spans="1:13" ht="12.75">
      <c r="A269" s="18" t="s">
        <v>63</v>
      </c>
      <c r="B269" s="11"/>
      <c r="C269" s="11"/>
      <c r="D269" s="11"/>
      <c r="E269" s="11"/>
      <c r="F269" s="11"/>
      <c r="G269" s="11"/>
      <c r="H269" s="11"/>
      <c r="I269" s="11"/>
      <c r="J269" s="11"/>
      <c r="K269" s="11">
        <f t="shared" si="24"/>
        <v>0</v>
      </c>
      <c r="L269" s="10" t="s">
        <v>10</v>
      </c>
      <c r="M269" s="23">
        <f>+K269*12</f>
        <v>0</v>
      </c>
    </row>
    <row r="270" spans="1:13" ht="12.75">
      <c r="A270" s="9" t="s">
        <v>27</v>
      </c>
      <c r="B270" s="11"/>
      <c r="C270" s="11"/>
      <c r="D270" s="11"/>
      <c r="E270" s="11">
        <v>150</v>
      </c>
      <c r="F270" s="11"/>
      <c r="G270" s="11">
        <v>195</v>
      </c>
      <c r="H270" s="11"/>
      <c r="I270" s="11">
        <v>180</v>
      </c>
      <c r="J270" s="11">
        <v>130</v>
      </c>
      <c r="K270" s="11">
        <f t="shared" si="24"/>
        <v>655</v>
      </c>
      <c r="L270" s="10" t="s">
        <v>10</v>
      </c>
      <c r="M270" s="23"/>
    </row>
    <row r="271" spans="1:13" ht="12.75">
      <c r="A271" s="9" t="s">
        <v>28</v>
      </c>
      <c r="B271" s="11"/>
      <c r="C271" s="11"/>
      <c r="D271" s="11"/>
      <c r="E271" s="11">
        <v>240</v>
      </c>
      <c r="F271" s="11">
        <f>125000+417312</f>
        <v>542312</v>
      </c>
      <c r="G271" s="11">
        <v>293</v>
      </c>
      <c r="H271" s="11"/>
      <c r="I271" s="11">
        <v>324</v>
      </c>
      <c r="J271" s="11">
        <v>194</v>
      </c>
      <c r="K271" s="11">
        <f t="shared" si="24"/>
        <v>543363</v>
      </c>
      <c r="L271" s="10" t="s">
        <v>33</v>
      </c>
      <c r="M271" s="23">
        <f>+K271</f>
        <v>543363</v>
      </c>
    </row>
    <row r="272" spans="1:13" ht="12.75">
      <c r="A272" s="9" t="s">
        <v>31</v>
      </c>
      <c r="B272" s="11">
        <f>47500+600+2700</f>
        <v>50800</v>
      </c>
      <c r="C272" s="11">
        <v>104600</v>
      </c>
      <c r="D272" s="11"/>
      <c r="E272" s="11"/>
      <c r="F272" s="11"/>
      <c r="G272" s="11">
        <v>69000</v>
      </c>
      <c r="H272" s="11"/>
      <c r="I272" s="11">
        <f>231530+374700+115059+454580+223228+24000</f>
        <v>1423097</v>
      </c>
      <c r="J272" s="11"/>
      <c r="K272" s="11">
        <f t="shared" si="24"/>
        <v>1647497</v>
      </c>
      <c r="L272" s="10" t="s">
        <v>10</v>
      </c>
      <c r="M272" s="23">
        <f>+K272*1.5</f>
        <v>2471245.5</v>
      </c>
    </row>
    <row r="273" spans="1:13" ht="12.75">
      <c r="A273" s="9" t="s">
        <v>32</v>
      </c>
      <c r="B273" s="11">
        <f>1500+1000+150+1300</f>
        <v>3950</v>
      </c>
      <c r="C273" s="11">
        <v>600</v>
      </c>
      <c r="D273" s="11"/>
      <c r="E273" s="11"/>
      <c r="F273" s="11">
        <v>843700</v>
      </c>
      <c r="G273" s="11">
        <v>8400</v>
      </c>
      <c r="H273" s="11"/>
      <c r="I273" s="11"/>
      <c r="J273" s="11"/>
      <c r="K273" s="11">
        <f t="shared" si="24"/>
        <v>856650</v>
      </c>
      <c r="L273" s="10" t="s">
        <v>10</v>
      </c>
      <c r="M273" s="23">
        <f>+K273*2</f>
        <v>1713300</v>
      </c>
    </row>
    <row r="274" spans="1:13" ht="12.75">
      <c r="A274" s="9" t="s">
        <v>29</v>
      </c>
      <c r="B274" s="11">
        <v>5332424</v>
      </c>
      <c r="C274" s="11">
        <v>1454075</v>
      </c>
      <c r="D274" s="11">
        <v>1595428</v>
      </c>
      <c r="E274" s="11">
        <v>121000</v>
      </c>
      <c r="F274" s="11">
        <v>8766</v>
      </c>
      <c r="G274" s="11">
        <v>299700</v>
      </c>
      <c r="H274" s="11">
        <v>1005583</v>
      </c>
      <c r="I274" s="11">
        <v>147908</v>
      </c>
      <c r="J274" s="11"/>
      <c r="K274" s="11">
        <f t="shared" si="24"/>
        <v>9964884</v>
      </c>
      <c r="L274" s="10" t="s">
        <v>12</v>
      </c>
      <c r="M274" s="23"/>
    </row>
    <row r="275" spans="1:13" ht="12.75">
      <c r="A275" s="9" t="s">
        <v>30</v>
      </c>
      <c r="B275" s="11">
        <v>491553</v>
      </c>
      <c r="C275" s="11"/>
      <c r="D275" s="11"/>
      <c r="E275" s="11">
        <v>1269</v>
      </c>
      <c r="F275" s="11">
        <v>475200</v>
      </c>
      <c r="G275" s="11">
        <v>16350</v>
      </c>
      <c r="H275" s="11">
        <v>100980</v>
      </c>
      <c r="I275" s="11">
        <v>9950</v>
      </c>
      <c r="J275" s="11"/>
      <c r="K275" s="11">
        <f t="shared" si="24"/>
        <v>1095302</v>
      </c>
      <c r="L275" s="10" t="s">
        <v>11</v>
      </c>
      <c r="M275" s="23"/>
    </row>
    <row r="276" spans="1:13" ht="12.75">
      <c r="A276" s="9" t="s">
        <v>38</v>
      </c>
      <c r="B276" s="11">
        <v>2298228</v>
      </c>
      <c r="C276" s="11">
        <v>24557192</v>
      </c>
      <c r="D276" s="11">
        <v>167040</v>
      </c>
      <c r="E276" s="11">
        <v>42199</v>
      </c>
      <c r="F276" s="11"/>
      <c r="G276" s="11">
        <v>351286</v>
      </c>
      <c r="H276" s="11"/>
      <c r="I276" s="11">
        <v>1136200</v>
      </c>
      <c r="J276" s="11"/>
      <c r="K276" s="11">
        <f t="shared" si="24"/>
        <v>28552145</v>
      </c>
      <c r="L276" s="10" t="s">
        <v>24</v>
      </c>
      <c r="M276" s="23"/>
    </row>
    <row r="277" spans="1:13" ht="12.75">
      <c r="A277" s="18" t="s">
        <v>60</v>
      </c>
      <c r="B277" s="11"/>
      <c r="C277" s="11"/>
      <c r="D277" s="11"/>
      <c r="E277" s="11">
        <v>1404634</v>
      </c>
      <c r="F277" s="19">
        <v>3000</v>
      </c>
      <c r="G277" s="11">
        <v>768240</v>
      </c>
      <c r="H277" s="11"/>
      <c r="I277" s="11"/>
      <c r="J277" s="11"/>
      <c r="K277" s="11">
        <f t="shared" si="24"/>
        <v>2175874</v>
      </c>
      <c r="L277" s="21"/>
      <c r="M277" s="23"/>
    </row>
    <row r="278" spans="1:13" ht="13.5" thickBot="1">
      <c r="A278" s="20" t="s">
        <v>35</v>
      </c>
      <c r="B278" s="12"/>
      <c r="C278" s="12"/>
      <c r="D278" s="12">
        <v>376</v>
      </c>
      <c r="E278" s="12">
        <v>579</v>
      </c>
      <c r="F278" s="85"/>
      <c r="G278" s="12">
        <v>420</v>
      </c>
      <c r="H278" s="12"/>
      <c r="I278" s="12"/>
      <c r="J278" s="12"/>
      <c r="K278" s="12">
        <f>B278+C278+D278+E278+F277+G278+H278+I278+J278</f>
        <v>4375</v>
      </c>
      <c r="L278" s="42"/>
      <c r="M278" s="43"/>
    </row>
    <row r="279" ht="12.75">
      <c r="A279" t="s">
        <v>75</v>
      </c>
    </row>
    <row r="280" spans="1:5" ht="12.75">
      <c r="A280" t="s">
        <v>76</v>
      </c>
      <c r="E280" t="s">
        <v>59</v>
      </c>
    </row>
    <row r="283" spans="1:6" ht="15.75">
      <c r="A283" s="86" t="s">
        <v>86</v>
      </c>
      <c r="D283" s="86" t="s">
        <v>91</v>
      </c>
      <c r="E283" s="86"/>
      <c r="F283" s="86"/>
    </row>
    <row r="284" ht="13.5" thickBot="1">
      <c r="F284" s="14"/>
    </row>
    <row r="285" spans="1:13" ht="15.75">
      <c r="A285" s="8" t="s">
        <v>0</v>
      </c>
      <c r="B285" s="24" t="s">
        <v>1</v>
      </c>
      <c r="C285" s="24" t="s">
        <v>2</v>
      </c>
      <c r="D285" s="24" t="s">
        <v>3</v>
      </c>
      <c r="E285" s="24" t="s">
        <v>22</v>
      </c>
      <c r="F285" s="93" t="s">
        <v>23</v>
      </c>
      <c r="G285" s="24" t="s">
        <v>4</v>
      </c>
      <c r="H285" s="24" t="s">
        <v>5</v>
      </c>
      <c r="I285" s="24" t="s">
        <v>6</v>
      </c>
      <c r="J285" s="24" t="s">
        <v>7</v>
      </c>
      <c r="K285" s="25" t="s">
        <v>8</v>
      </c>
      <c r="L285" s="26" t="s">
        <v>9</v>
      </c>
      <c r="M285" s="22" t="s">
        <v>41</v>
      </c>
    </row>
    <row r="286" spans="1:13" ht="12.75">
      <c r="A286" s="9" t="s">
        <v>42</v>
      </c>
      <c r="B286" s="11">
        <v>2024</v>
      </c>
      <c r="C286" s="11">
        <v>532</v>
      </c>
      <c r="D286" s="11"/>
      <c r="E286" s="11"/>
      <c r="F286" s="11">
        <f>46+6+234+32+127+3+4+32+78+61+57+71</f>
        <v>751</v>
      </c>
      <c r="G286" s="11">
        <v>435</v>
      </c>
      <c r="H286" s="11">
        <v>900</v>
      </c>
      <c r="I286" s="11">
        <v>130</v>
      </c>
      <c r="J286" s="11">
        <v>55</v>
      </c>
      <c r="K286" s="11">
        <f aca="true" t="shared" si="25" ref="K286:K303">SUM(B286:J286)</f>
        <v>4827</v>
      </c>
      <c r="L286" s="10" t="s">
        <v>10</v>
      </c>
      <c r="M286" s="23"/>
    </row>
    <row r="287" spans="1:13" ht="12.75">
      <c r="A287" s="9" t="s">
        <v>43</v>
      </c>
      <c r="B287" s="11">
        <v>1051</v>
      </c>
      <c r="C287" s="11">
        <v>455</v>
      </c>
      <c r="D287" s="11"/>
      <c r="E287" s="11">
        <v>50</v>
      </c>
      <c r="F287" s="80">
        <f>55+4+2+75+59+22+46+6+184</f>
        <v>453</v>
      </c>
      <c r="G287" s="11">
        <v>165</v>
      </c>
      <c r="H287" s="11">
        <v>539</v>
      </c>
      <c r="I287" s="11">
        <f>8+32+4</f>
        <v>44</v>
      </c>
      <c r="J287" s="11">
        <v>40</v>
      </c>
      <c r="K287" s="11">
        <f t="shared" si="25"/>
        <v>2797</v>
      </c>
      <c r="L287" s="10" t="s">
        <v>10</v>
      </c>
      <c r="M287" s="23">
        <f>+K287*205</f>
        <v>573385</v>
      </c>
    </row>
    <row r="288" spans="1:13" ht="12.75">
      <c r="A288" s="9" t="s">
        <v>44</v>
      </c>
      <c r="B288" s="11">
        <f>5592+430</f>
        <v>6022</v>
      </c>
      <c r="C288" s="11">
        <v>8278</v>
      </c>
      <c r="D288" s="11"/>
      <c r="E288" s="11"/>
      <c r="F288" s="11">
        <f>490+22+3+1219+118</f>
        <v>1852</v>
      </c>
      <c r="G288" s="11">
        <v>877</v>
      </c>
      <c r="H288" s="11">
        <v>598</v>
      </c>
      <c r="I288" s="11">
        <v>1098</v>
      </c>
      <c r="J288" s="11">
        <v>1586</v>
      </c>
      <c r="K288" s="11">
        <f t="shared" si="25"/>
        <v>20311</v>
      </c>
      <c r="L288" s="10" t="s">
        <v>10</v>
      </c>
      <c r="M288" s="23"/>
    </row>
    <row r="289" spans="1:13" ht="12.75">
      <c r="A289" s="9" t="s">
        <v>45</v>
      </c>
      <c r="B289" s="11">
        <v>5901</v>
      </c>
      <c r="C289" s="11">
        <v>8256</v>
      </c>
      <c r="D289" s="11">
        <v>239</v>
      </c>
      <c r="E289" s="11">
        <v>509</v>
      </c>
      <c r="F289" s="11">
        <f>490+2+2+1168+4</f>
        <v>1666</v>
      </c>
      <c r="G289" s="11">
        <v>377</v>
      </c>
      <c r="H289" s="11">
        <v>598</v>
      </c>
      <c r="I289" s="11">
        <v>1095</v>
      </c>
      <c r="J289" s="11">
        <v>1559</v>
      </c>
      <c r="K289" s="11">
        <f t="shared" si="25"/>
        <v>20200</v>
      </c>
      <c r="L289" s="10" t="s">
        <v>10</v>
      </c>
      <c r="M289" s="23">
        <f>+K289*50</f>
        <v>1010000</v>
      </c>
    </row>
    <row r="290" spans="1:13" ht="12.75">
      <c r="A290" s="9" t="s">
        <v>46</v>
      </c>
      <c r="B290" s="11">
        <v>5606</v>
      </c>
      <c r="C290" s="11">
        <v>453</v>
      </c>
      <c r="D290" s="11">
        <v>95</v>
      </c>
      <c r="E290" s="11">
        <v>20</v>
      </c>
      <c r="F290" s="11"/>
      <c r="G290" s="11"/>
      <c r="H290" s="11">
        <v>1462</v>
      </c>
      <c r="I290" s="11">
        <v>1620</v>
      </c>
      <c r="J290" s="11">
        <v>26</v>
      </c>
      <c r="K290" s="11">
        <f t="shared" si="25"/>
        <v>9282</v>
      </c>
      <c r="L290" s="10" t="s">
        <v>10</v>
      </c>
      <c r="M290" s="23"/>
    </row>
    <row r="291" spans="1:13" ht="12.75">
      <c r="A291" s="9" t="s">
        <v>47</v>
      </c>
      <c r="B291" s="11">
        <v>5606</v>
      </c>
      <c r="C291" s="36">
        <v>453</v>
      </c>
      <c r="D291" s="11">
        <v>95</v>
      </c>
      <c r="E291" s="11">
        <v>20</v>
      </c>
      <c r="F291" s="11">
        <f>43+7+1+20</f>
        <v>71</v>
      </c>
      <c r="G291" s="11"/>
      <c r="H291" s="11">
        <v>1462</v>
      </c>
      <c r="I291" s="11">
        <v>1620</v>
      </c>
      <c r="J291" s="11">
        <v>26</v>
      </c>
      <c r="K291" s="11">
        <f t="shared" si="25"/>
        <v>9353</v>
      </c>
      <c r="L291" s="10" t="s">
        <v>10</v>
      </c>
      <c r="M291" s="23">
        <f>+K291*11</f>
        <v>102883</v>
      </c>
    </row>
    <row r="292" spans="1:13" ht="12.75">
      <c r="A292" s="9" t="s">
        <v>48</v>
      </c>
      <c r="B292" s="11">
        <v>557</v>
      </c>
      <c r="C292" s="11">
        <v>96</v>
      </c>
      <c r="D292" s="11">
        <v>120</v>
      </c>
      <c r="E292" s="11">
        <v>20</v>
      </c>
      <c r="F292" s="11"/>
      <c r="G292" s="11"/>
      <c r="H292" s="11">
        <v>429</v>
      </c>
      <c r="I292" s="11">
        <f>420+17</f>
        <v>437</v>
      </c>
      <c r="J292" s="11">
        <v>61</v>
      </c>
      <c r="K292" s="11">
        <f t="shared" si="25"/>
        <v>1720</v>
      </c>
      <c r="L292" s="10" t="s">
        <v>10</v>
      </c>
      <c r="M292" s="23"/>
    </row>
    <row r="293" spans="1:13" ht="12.75">
      <c r="A293" s="9" t="s">
        <v>49</v>
      </c>
      <c r="B293" s="11">
        <v>557</v>
      </c>
      <c r="C293" s="11">
        <v>92</v>
      </c>
      <c r="D293" s="11">
        <v>120</v>
      </c>
      <c r="E293" s="11">
        <v>20</v>
      </c>
      <c r="F293" s="11"/>
      <c r="G293" s="11"/>
      <c r="H293" s="11">
        <v>429</v>
      </c>
      <c r="I293" s="11">
        <v>420</v>
      </c>
      <c r="J293" s="11">
        <v>55</v>
      </c>
      <c r="K293" s="11">
        <f t="shared" si="25"/>
        <v>1693</v>
      </c>
      <c r="L293" s="10" t="s">
        <v>10</v>
      </c>
      <c r="M293" s="23">
        <f>+K293*12</f>
        <v>20316</v>
      </c>
    </row>
    <row r="294" spans="1:13" ht="12.75">
      <c r="A294" s="18" t="s">
        <v>63</v>
      </c>
      <c r="B294" s="11"/>
      <c r="C294" s="11"/>
      <c r="D294" s="11"/>
      <c r="E294" s="11"/>
      <c r="F294" s="11"/>
      <c r="G294" s="11">
        <v>1</v>
      </c>
      <c r="H294" s="11"/>
      <c r="I294" s="11"/>
      <c r="J294" s="11"/>
      <c r="K294" s="11">
        <f t="shared" si="25"/>
        <v>1</v>
      </c>
      <c r="L294" s="10" t="s">
        <v>10</v>
      </c>
      <c r="M294" s="23">
        <f>+K294*12</f>
        <v>12</v>
      </c>
    </row>
    <row r="295" spans="1:13" ht="12.75">
      <c r="A295" s="18" t="s">
        <v>63</v>
      </c>
      <c r="B295" s="11"/>
      <c r="C295" s="11"/>
      <c r="D295" s="11"/>
      <c r="E295" s="11"/>
      <c r="F295" s="11"/>
      <c r="G295" s="11">
        <v>1</v>
      </c>
      <c r="H295" s="11"/>
      <c r="I295" s="11"/>
      <c r="J295" s="11"/>
      <c r="K295" s="11">
        <f t="shared" si="25"/>
        <v>1</v>
      </c>
      <c r="L295" s="10" t="s">
        <v>10</v>
      </c>
      <c r="M295" s="23">
        <f>+K295*12</f>
        <v>12</v>
      </c>
    </row>
    <row r="296" spans="1:13" ht="12.75">
      <c r="A296" s="9" t="s">
        <v>27</v>
      </c>
      <c r="B296" s="11"/>
      <c r="C296" s="11"/>
      <c r="D296" s="11"/>
      <c r="E296" s="11"/>
      <c r="F296" s="11"/>
      <c r="G296" s="11">
        <v>150</v>
      </c>
      <c r="H296" s="11"/>
      <c r="I296" s="11">
        <v>210</v>
      </c>
      <c r="J296" s="11">
        <v>120</v>
      </c>
      <c r="K296" s="11">
        <f t="shared" si="25"/>
        <v>480</v>
      </c>
      <c r="L296" s="10" t="s">
        <v>10</v>
      </c>
      <c r="M296" s="23"/>
    </row>
    <row r="297" spans="1:13" ht="12.75">
      <c r="A297" s="9" t="s">
        <v>28</v>
      </c>
      <c r="B297" s="11"/>
      <c r="C297" s="11"/>
      <c r="D297" s="11"/>
      <c r="E297" s="11"/>
      <c r="F297" s="11">
        <f>18432+900490</f>
        <v>918922</v>
      </c>
      <c r="G297" s="11">
        <v>225</v>
      </c>
      <c r="H297" s="11"/>
      <c r="I297" s="11">
        <v>378</v>
      </c>
      <c r="J297" s="11">
        <v>216</v>
      </c>
      <c r="K297" s="11">
        <f t="shared" si="25"/>
        <v>919741</v>
      </c>
      <c r="L297" s="10" t="s">
        <v>33</v>
      </c>
      <c r="M297" s="23">
        <f>+K297</f>
        <v>919741</v>
      </c>
    </row>
    <row r="298" spans="1:13" ht="12.75">
      <c r="A298" s="9" t="s">
        <v>31</v>
      </c>
      <c r="B298" s="11">
        <f>34400+8600+22000+100+21000+500+6912+6390</f>
        <v>99902</v>
      </c>
      <c r="C298" s="11"/>
      <c r="D298" s="11"/>
      <c r="E298" s="11"/>
      <c r="F298" s="11"/>
      <c r="G298" s="11">
        <v>416200</v>
      </c>
      <c r="H298" s="11"/>
      <c r="I298" s="11">
        <f>52600+15000+6552+192848+4000+7500+15888+4500+426598+670936</f>
        <v>1396422</v>
      </c>
      <c r="J298" s="11"/>
      <c r="K298" s="11">
        <f t="shared" si="25"/>
        <v>1912524</v>
      </c>
      <c r="L298" s="10" t="s">
        <v>10</v>
      </c>
      <c r="M298" s="23">
        <f>+K298*1.5</f>
        <v>2868786</v>
      </c>
    </row>
    <row r="299" spans="1:13" ht="12.75">
      <c r="A299" s="9" t="s">
        <v>32</v>
      </c>
      <c r="B299" s="11"/>
      <c r="C299" s="11"/>
      <c r="D299" s="11"/>
      <c r="E299" s="11"/>
      <c r="F299" s="11">
        <v>807400</v>
      </c>
      <c r="G299" s="11">
        <v>22160</v>
      </c>
      <c r="H299" s="11"/>
      <c r="I299" s="11"/>
      <c r="J299" s="11"/>
      <c r="K299" s="11">
        <f t="shared" si="25"/>
        <v>829560</v>
      </c>
      <c r="L299" s="10" t="s">
        <v>10</v>
      </c>
      <c r="M299" s="23">
        <f>+K299*2</f>
        <v>1659120</v>
      </c>
    </row>
    <row r="300" spans="1:13" ht="12.75">
      <c r="A300" s="9" t="s">
        <v>29</v>
      </c>
      <c r="B300" s="11">
        <v>5899144</v>
      </c>
      <c r="C300" s="11">
        <v>1496075</v>
      </c>
      <c r="D300" s="11">
        <v>1596200</v>
      </c>
      <c r="E300" s="11">
        <v>120233</v>
      </c>
      <c r="F300" s="11">
        <v>12211</v>
      </c>
      <c r="G300" s="11">
        <v>356600</v>
      </c>
      <c r="H300" s="11">
        <v>1018249</v>
      </c>
      <c r="I300" s="11">
        <v>140180</v>
      </c>
      <c r="J300" s="11"/>
      <c r="K300" s="11">
        <f t="shared" si="25"/>
        <v>10638892</v>
      </c>
      <c r="L300" s="10" t="s">
        <v>12</v>
      </c>
      <c r="M300" s="23"/>
    </row>
    <row r="301" spans="1:13" ht="12.75">
      <c r="A301" s="9" t="s">
        <v>30</v>
      </c>
      <c r="B301" s="11">
        <v>549893</v>
      </c>
      <c r="C301" s="11"/>
      <c r="D301" s="11">
        <v>6980</v>
      </c>
      <c r="E301" s="11">
        <v>1302</v>
      </c>
      <c r="F301" s="11">
        <v>475200</v>
      </c>
      <c r="G301" s="11">
        <v>11780</v>
      </c>
      <c r="H301" s="11">
        <v>92659</v>
      </c>
      <c r="I301" s="11">
        <v>9520</v>
      </c>
      <c r="J301" s="11"/>
      <c r="K301" s="11">
        <f t="shared" si="25"/>
        <v>1147334</v>
      </c>
      <c r="L301" s="10" t="s">
        <v>11</v>
      </c>
      <c r="M301" s="23"/>
    </row>
    <row r="302" spans="1:13" ht="12.75">
      <c r="A302" s="9" t="s">
        <v>38</v>
      </c>
      <c r="B302" s="11">
        <v>2554673</v>
      </c>
      <c r="C302" s="11">
        <v>25227032</v>
      </c>
      <c r="D302" s="11">
        <v>179280</v>
      </c>
      <c r="E302" s="11">
        <v>42207</v>
      </c>
      <c r="F302" s="11"/>
      <c r="G302" s="11">
        <v>351330</v>
      </c>
      <c r="H302" s="11"/>
      <c r="I302" s="11">
        <v>1131000</v>
      </c>
      <c r="J302" s="11"/>
      <c r="K302" s="11">
        <f t="shared" si="25"/>
        <v>29485522</v>
      </c>
      <c r="L302" s="10" t="s">
        <v>24</v>
      </c>
      <c r="M302" s="23"/>
    </row>
    <row r="303" spans="1:13" ht="13.5" thickBot="1">
      <c r="A303" s="18" t="s">
        <v>60</v>
      </c>
      <c r="B303" s="11"/>
      <c r="C303" s="11"/>
      <c r="D303" s="11"/>
      <c r="E303" s="11">
        <v>1404636</v>
      </c>
      <c r="F303" s="12">
        <v>3000</v>
      </c>
      <c r="G303" s="11">
        <v>768239</v>
      </c>
      <c r="H303" s="11"/>
      <c r="I303" s="11"/>
      <c r="J303" s="11"/>
      <c r="K303" s="11">
        <f t="shared" si="25"/>
        <v>2175875</v>
      </c>
      <c r="L303" s="21"/>
      <c r="M303" s="23"/>
    </row>
    <row r="304" spans="1:13" ht="13.5" thickBot="1">
      <c r="A304" s="20" t="s">
        <v>35</v>
      </c>
      <c r="B304" s="12"/>
      <c r="C304" s="12"/>
      <c r="D304" s="12">
        <v>380</v>
      </c>
      <c r="E304" s="12">
        <v>578</v>
      </c>
      <c r="G304" s="12">
        <v>395</v>
      </c>
      <c r="H304" s="12"/>
      <c r="I304" s="12"/>
      <c r="J304" s="12"/>
      <c r="K304" s="12">
        <f>C304+D304+E304+F303+H304+I304+J304</f>
        <v>3958</v>
      </c>
      <c r="L304" s="42"/>
      <c r="M304" s="43"/>
    </row>
    <row r="305" ht="12.75">
      <c r="A305" t="s">
        <v>87</v>
      </c>
    </row>
    <row r="306" spans="1:5" ht="12.75">
      <c r="A306" t="s">
        <v>76</v>
      </c>
      <c r="E306" t="s">
        <v>59</v>
      </c>
    </row>
    <row r="307" spans="1:14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ht="18.75">
      <c r="A308" s="6"/>
      <c r="B308" s="5"/>
      <c r="C308" s="5"/>
      <c r="D308" s="5"/>
      <c r="E308" s="7"/>
      <c r="F308" s="5"/>
      <c r="G308" s="5"/>
      <c r="H308" s="5"/>
      <c r="I308" s="5"/>
      <c r="J308" s="5"/>
      <c r="K308" s="5"/>
      <c r="L308" s="5"/>
      <c r="M308" s="5"/>
      <c r="N308" s="5"/>
    </row>
    <row r="309" spans="1:14" ht="12.75">
      <c r="A309" s="5"/>
      <c r="B309" s="5"/>
      <c r="C309" s="5"/>
      <c r="D309" s="5"/>
      <c r="E309" s="5"/>
      <c r="G309" s="5"/>
      <c r="H309" s="5"/>
      <c r="I309" s="5"/>
      <c r="J309" s="5"/>
      <c r="K309" s="5"/>
      <c r="L309" s="5"/>
      <c r="M309" s="5"/>
      <c r="N309" s="5"/>
    </row>
    <row r="310" spans="1:15" ht="12.75">
      <c r="A310" s="32" t="s">
        <v>0</v>
      </c>
      <c r="B310" s="29" t="s">
        <v>13</v>
      </c>
      <c r="C310" s="29" t="s">
        <v>14</v>
      </c>
      <c r="D310" s="29" t="s">
        <v>15</v>
      </c>
      <c r="E310" s="29" t="s">
        <v>16</v>
      </c>
      <c r="F310" s="29" t="s">
        <v>15</v>
      </c>
      <c r="G310" s="29" t="s">
        <v>17</v>
      </c>
      <c r="H310" s="29" t="s">
        <v>17</v>
      </c>
      <c r="I310" s="29" t="s">
        <v>16</v>
      </c>
      <c r="J310" s="29" t="s">
        <v>18</v>
      </c>
      <c r="K310" s="29" t="s">
        <v>19</v>
      </c>
      <c r="L310" s="29" t="s">
        <v>20</v>
      </c>
      <c r="M310" s="29" t="s">
        <v>21</v>
      </c>
      <c r="N310" s="29" t="s">
        <v>8</v>
      </c>
      <c r="O310" s="33" t="s">
        <v>41</v>
      </c>
    </row>
    <row r="311" spans="1:15" ht="12.75">
      <c r="A311" s="30" t="s">
        <v>42</v>
      </c>
      <c r="B311" s="31">
        <f>K7</f>
        <v>7507</v>
      </c>
      <c r="C311" s="31">
        <f aca="true" t="shared" si="26" ref="C311:C320">K34</f>
        <v>8194</v>
      </c>
      <c r="D311" s="31">
        <f aca="true" t="shared" si="27" ref="D311:D318">K60</f>
        <v>7229</v>
      </c>
      <c r="E311" s="31">
        <f aca="true" t="shared" si="28" ref="E311:E318">K85</f>
        <v>6541</v>
      </c>
      <c r="F311" s="31">
        <f>K110</f>
        <v>6336</v>
      </c>
      <c r="G311" s="30">
        <f aca="true" t="shared" si="29" ref="G311:G318">K135</f>
        <v>5552</v>
      </c>
      <c r="H311" s="30">
        <f aca="true" t="shared" si="30" ref="H311:H318">K160</f>
        <v>7468</v>
      </c>
      <c r="I311" s="30">
        <f aca="true" t="shared" si="31" ref="I311:I318">K185</f>
        <v>7144</v>
      </c>
      <c r="J311" s="30">
        <f aca="true" t="shared" si="32" ref="J311:J318">K210</f>
        <v>9209</v>
      </c>
      <c r="K311" s="39">
        <f aca="true" t="shared" si="33" ref="K311:K320">K235</f>
        <v>6367</v>
      </c>
      <c r="L311" s="30">
        <f aca="true" t="shared" si="34" ref="L311:L318">K260</f>
        <v>3919</v>
      </c>
      <c r="M311" s="30">
        <f aca="true" t="shared" si="35" ref="M311:M318">K286</f>
        <v>4827</v>
      </c>
      <c r="N311" s="31">
        <f>SUM(B311:M311)</f>
        <v>80293</v>
      </c>
      <c r="O311" s="34"/>
    </row>
    <row r="312" spans="1:15" ht="12.75">
      <c r="A312" s="30" t="s">
        <v>43</v>
      </c>
      <c r="B312" s="31">
        <f aca="true" t="shared" si="36" ref="B312:B318">K8</f>
        <v>4201</v>
      </c>
      <c r="C312" s="31">
        <f t="shared" si="26"/>
        <v>3202</v>
      </c>
      <c r="D312" s="31">
        <f t="shared" si="27"/>
        <v>2732</v>
      </c>
      <c r="E312" s="31">
        <f t="shared" si="28"/>
        <v>3269</v>
      </c>
      <c r="F312" s="31">
        <f>K111</f>
        <v>3059</v>
      </c>
      <c r="G312" s="30">
        <f t="shared" si="29"/>
        <v>2797</v>
      </c>
      <c r="H312" s="30">
        <f t="shared" si="30"/>
        <v>2872</v>
      </c>
      <c r="I312" s="30">
        <f t="shared" si="31"/>
        <v>2887</v>
      </c>
      <c r="J312" s="30">
        <f t="shared" si="32"/>
        <v>3915</v>
      </c>
      <c r="K312" s="39">
        <f t="shared" si="33"/>
        <v>2992</v>
      </c>
      <c r="L312" s="30">
        <f t="shared" si="34"/>
        <v>1980</v>
      </c>
      <c r="M312" s="30">
        <f t="shared" si="35"/>
        <v>2797</v>
      </c>
      <c r="N312" s="31">
        <f aca="true" t="shared" si="37" ref="N312:N329">SUM(B312:M312)</f>
        <v>36703</v>
      </c>
      <c r="O312" s="35">
        <f>+N312*205</f>
        <v>7524115</v>
      </c>
    </row>
    <row r="313" spans="1:15" ht="12.75">
      <c r="A313" s="30" t="s">
        <v>44</v>
      </c>
      <c r="B313" s="31">
        <f t="shared" si="36"/>
        <v>20324</v>
      </c>
      <c r="C313" s="31">
        <f t="shared" si="26"/>
        <v>18240</v>
      </c>
      <c r="D313" s="31">
        <f t="shared" si="27"/>
        <v>16952</v>
      </c>
      <c r="E313" s="31">
        <f t="shared" si="28"/>
        <v>22767</v>
      </c>
      <c r="F313" s="31">
        <f>K112</f>
        <v>21711</v>
      </c>
      <c r="G313" s="30">
        <f t="shared" si="29"/>
        <v>21491</v>
      </c>
      <c r="H313" s="30">
        <f t="shared" si="30"/>
        <v>20692</v>
      </c>
      <c r="I313" s="30">
        <f t="shared" si="31"/>
        <v>24598</v>
      </c>
      <c r="J313" s="30">
        <f t="shared" si="32"/>
        <v>22612</v>
      </c>
      <c r="K313" s="39">
        <f t="shared" si="33"/>
        <v>26356</v>
      </c>
      <c r="L313" s="30">
        <f t="shared" si="34"/>
        <v>25977</v>
      </c>
      <c r="M313" s="30">
        <f t="shared" si="35"/>
        <v>20311</v>
      </c>
      <c r="N313" s="31">
        <f t="shared" si="37"/>
        <v>262031</v>
      </c>
      <c r="O313" s="35"/>
    </row>
    <row r="314" spans="1:15" ht="12.75">
      <c r="A314" s="30" t="s">
        <v>45</v>
      </c>
      <c r="B314" s="31">
        <f t="shared" si="36"/>
        <v>19529</v>
      </c>
      <c r="C314" s="31">
        <f t="shared" si="26"/>
        <v>16978</v>
      </c>
      <c r="D314" s="31">
        <f t="shared" si="27"/>
        <v>17018</v>
      </c>
      <c r="E314" s="31">
        <f t="shared" si="28"/>
        <v>22769</v>
      </c>
      <c r="F314" s="31">
        <f>K113</f>
        <v>21897</v>
      </c>
      <c r="G314" s="30">
        <f t="shared" si="29"/>
        <v>21535</v>
      </c>
      <c r="H314" s="30">
        <f t="shared" si="30"/>
        <v>20526</v>
      </c>
      <c r="I314" s="30">
        <f t="shared" si="31"/>
        <v>23722</v>
      </c>
      <c r="J314" s="30">
        <f t="shared" si="32"/>
        <v>22861</v>
      </c>
      <c r="K314" s="39">
        <f t="shared" si="33"/>
        <v>25356</v>
      </c>
      <c r="L314" s="30">
        <f t="shared" si="34"/>
        <v>25007</v>
      </c>
      <c r="M314" s="30">
        <f t="shared" si="35"/>
        <v>20200</v>
      </c>
      <c r="N314" s="31">
        <f t="shared" si="37"/>
        <v>257398</v>
      </c>
      <c r="O314" s="35">
        <f>+N314*50</f>
        <v>12869900</v>
      </c>
    </row>
    <row r="315" spans="1:15" ht="12.75">
      <c r="A315" s="30" t="s">
        <v>46</v>
      </c>
      <c r="B315" s="31">
        <f t="shared" si="36"/>
        <v>8226</v>
      </c>
      <c r="C315" s="31">
        <f t="shared" si="26"/>
        <v>9329</v>
      </c>
      <c r="D315" s="31">
        <f t="shared" si="27"/>
        <v>9061</v>
      </c>
      <c r="E315" s="31">
        <f t="shared" si="28"/>
        <v>3869</v>
      </c>
      <c r="F315" s="31">
        <f>K114</f>
        <v>8622</v>
      </c>
      <c r="G315" s="30">
        <f t="shared" si="29"/>
        <v>9230</v>
      </c>
      <c r="H315" s="30">
        <f t="shared" si="30"/>
        <v>8939</v>
      </c>
      <c r="I315" s="30">
        <f t="shared" si="31"/>
        <v>10356</v>
      </c>
      <c r="J315" s="30">
        <f t="shared" si="32"/>
        <v>9006</v>
      </c>
      <c r="K315" s="39">
        <f t="shared" si="33"/>
        <v>6536</v>
      </c>
      <c r="L315" s="30">
        <f t="shared" si="34"/>
        <v>8952</v>
      </c>
      <c r="M315" s="30">
        <f t="shared" si="35"/>
        <v>9282</v>
      </c>
      <c r="N315" s="76">
        <f t="shared" si="37"/>
        <v>101408</v>
      </c>
      <c r="O315" s="35"/>
    </row>
    <row r="316" spans="1:15" ht="12.75">
      <c r="A316" s="30" t="s">
        <v>47</v>
      </c>
      <c r="B316" s="31">
        <f t="shared" si="36"/>
        <v>8180</v>
      </c>
      <c r="C316" s="31">
        <f t="shared" si="26"/>
        <v>9329</v>
      </c>
      <c r="D316" s="31">
        <f t="shared" si="27"/>
        <v>9057</v>
      </c>
      <c r="E316" s="31">
        <f t="shared" si="28"/>
        <v>10746</v>
      </c>
      <c r="F316" s="31">
        <f>K115</f>
        <v>8602</v>
      </c>
      <c r="G316" s="30">
        <f t="shared" si="29"/>
        <v>9134</v>
      </c>
      <c r="H316" s="30">
        <f t="shared" si="30"/>
        <v>8814</v>
      </c>
      <c r="I316" s="30">
        <f t="shared" si="31"/>
        <v>10260</v>
      </c>
      <c r="J316" s="30">
        <f t="shared" si="32"/>
        <v>7642</v>
      </c>
      <c r="K316" s="39">
        <f t="shared" si="33"/>
        <v>6536</v>
      </c>
      <c r="L316" s="30">
        <f t="shared" si="34"/>
        <v>8906</v>
      </c>
      <c r="M316" s="30">
        <f t="shared" si="35"/>
        <v>9353</v>
      </c>
      <c r="N316" s="31">
        <f t="shared" si="37"/>
        <v>106559</v>
      </c>
      <c r="O316" s="35">
        <f>+N316*11</f>
        <v>1172149</v>
      </c>
    </row>
    <row r="317" spans="1:15" ht="12.75">
      <c r="A317" s="30" t="s">
        <v>48</v>
      </c>
      <c r="B317" s="31">
        <f t="shared" si="36"/>
        <v>1024</v>
      </c>
      <c r="C317" s="31">
        <f t="shared" si="26"/>
        <v>1356</v>
      </c>
      <c r="D317" s="31">
        <f t="shared" si="27"/>
        <v>2105</v>
      </c>
      <c r="E317" s="31">
        <f t="shared" si="28"/>
        <v>2050</v>
      </c>
      <c r="F317" s="31">
        <f>K116</f>
        <v>1984</v>
      </c>
      <c r="G317" s="30">
        <f t="shared" si="29"/>
        <v>1912</v>
      </c>
      <c r="H317" s="30">
        <f t="shared" si="30"/>
        <v>2399</v>
      </c>
      <c r="I317" s="30">
        <f t="shared" si="31"/>
        <v>2141</v>
      </c>
      <c r="J317" s="30">
        <f t="shared" si="32"/>
        <v>1620</v>
      </c>
      <c r="K317" s="39">
        <f t="shared" si="33"/>
        <v>1545</v>
      </c>
      <c r="L317" s="30">
        <f t="shared" si="34"/>
        <v>1928</v>
      </c>
      <c r="M317" s="30">
        <f t="shared" si="35"/>
        <v>1720</v>
      </c>
      <c r="N317" s="76">
        <f t="shared" si="37"/>
        <v>21784</v>
      </c>
      <c r="O317" s="35"/>
    </row>
    <row r="318" spans="1:15" ht="12.75">
      <c r="A318" s="30" t="s">
        <v>49</v>
      </c>
      <c r="B318" s="31">
        <f t="shared" si="36"/>
        <v>1023</v>
      </c>
      <c r="C318" s="31">
        <f t="shared" si="26"/>
        <v>1261</v>
      </c>
      <c r="D318" s="31">
        <f t="shared" si="27"/>
        <v>2134</v>
      </c>
      <c r="E318" s="31">
        <f t="shared" si="28"/>
        <v>1964</v>
      </c>
      <c r="F318" s="31">
        <f>K117</f>
        <v>1984</v>
      </c>
      <c r="G318" s="30">
        <f t="shared" si="29"/>
        <v>1932</v>
      </c>
      <c r="H318" s="30">
        <f t="shared" si="30"/>
        <v>2360</v>
      </c>
      <c r="I318" s="30">
        <f t="shared" si="31"/>
        <v>2147</v>
      </c>
      <c r="J318" s="30">
        <f t="shared" si="32"/>
        <v>1675</v>
      </c>
      <c r="K318" s="39">
        <f t="shared" si="33"/>
        <v>1523</v>
      </c>
      <c r="L318" s="30">
        <f t="shared" si="34"/>
        <v>1868</v>
      </c>
      <c r="M318" s="30">
        <f t="shared" si="35"/>
        <v>1693</v>
      </c>
      <c r="N318" s="31">
        <f t="shared" si="37"/>
        <v>21564</v>
      </c>
      <c r="O318" s="35">
        <f>+N318*12</f>
        <v>258768</v>
      </c>
    </row>
    <row r="319" spans="1:15" ht="12.75">
      <c r="A319" s="18" t="s">
        <v>63</v>
      </c>
      <c r="B319" s="31">
        <f aca="true" t="shared" si="38" ref="B319:B325">K15</f>
        <v>3</v>
      </c>
      <c r="C319" s="31">
        <f t="shared" si="26"/>
        <v>6</v>
      </c>
      <c r="D319" s="31">
        <f aca="true" t="shared" si="39" ref="D319:D329">K68</f>
        <v>0</v>
      </c>
      <c r="E319" s="31">
        <f aca="true" t="shared" si="40" ref="E319:E329">K93</f>
        <v>0</v>
      </c>
      <c r="F319" s="31">
        <f>K119</f>
        <v>0</v>
      </c>
      <c r="G319" s="30">
        <f aca="true" t="shared" si="41" ref="G319:G329">K143</f>
        <v>34</v>
      </c>
      <c r="H319" s="30">
        <f aca="true" t="shared" si="42" ref="H319:H328">K168</f>
        <v>2</v>
      </c>
      <c r="I319" s="30">
        <f>K193</f>
        <v>62</v>
      </c>
      <c r="J319" s="30">
        <f aca="true" t="shared" si="43" ref="J319:J329">K218</f>
        <v>7</v>
      </c>
      <c r="K319" s="39">
        <f t="shared" si="33"/>
        <v>2</v>
      </c>
      <c r="L319" s="30">
        <f>K268</f>
        <v>13</v>
      </c>
      <c r="M319" s="30">
        <f aca="true" t="shared" si="44" ref="M319:M329">K294</f>
        <v>1</v>
      </c>
      <c r="N319" s="31">
        <f t="shared" si="37"/>
        <v>130</v>
      </c>
      <c r="O319" s="35"/>
    </row>
    <row r="320" spans="1:15" ht="12.75">
      <c r="A320" s="18" t="s">
        <v>63</v>
      </c>
      <c r="B320" s="31">
        <f t="shared" si="38"/>
        <v>3</v>
      </c>
      <c r="C320" s="31">
        <f t="shared" si="26"/>
        <v>6</v>
      </c>
      <c r="D320" s="31">
        <f t="shared" si="39"/>
        <v>0</v>
      </c>
      <c r="E320" s="31">
        <f t="shared" si="40"/>
        <v>0</v>
      </c>
      <c r="F320" s="31">
        <f>K120</f>
        <v>797</v>
      </c>
      <c r="G320" s="30">
        <f t="shared" si="41"/>
        <v>4</v>
      </c>
      <c r="H320" s="30">
        <f t="shared" si="42"/>
        <v>2</v>
      </c>
      <c r="I320" s="48">
        <f>K195</f>
        <v>586</v>
      </c>
      <c r="J320" s="30">
        <f t="shared" si="43"/>
        <v>1</v>
      </c>
      <c r="K320" s="39">
        <f t="shared" si="33"/>
        <v>2</v>
      </c>
      <c r="L320" s="30">
        <f>K269</f>
        <v>0</v>
      </c>
      <c r="M320" s="30">
        <f t="shared" si="44"/>
        <v>1</v>
      </c>
      <c r="N320" s="31">
        <f t="shared" si="37"/>
        <v>1402</v>
      </c>
      <c r="O320" s="35">
        <f>+N320*245</f>
        <v>343490</v>
      </c>
    </row>
    <row r="321" spans="1:15" ht="12.75">
      <c r="A321" s="30" t="s">
        <v>27</v>
      </c>
      <c r="B321" s="31">
        <f t="shared" si="38"/>
        <v>603</v>
      </c>
      <c r="C321" s="31">
        <f aca="true" t="shared" si="45" ref="C321:C328">K44</f>
        <v>667</v>
      </c>
      <c r="D321" s="31">
        <f t="shared" si="39"/>
        <v>869</v>
      </c>
      <c r="E321" s="31">
        <f t="shared" si="40"/>
        <v>974</v>
      </c>
      <c r="F321" s="31">
        <f>K121</f>
        <v>537169</v>
      </c>
      <c r="G321" s="48">
        <f t="shared" si="41"/>
        <v>707</v>
      </c>
      <c r="H321" s="48">
        <f t="shared" si="42"/>
        <v>490</v>
      </c>
      <c r="I321" s="48">
        <f>K196</f>
        <v>330587</v>
      </c>
      <c r="J321" s="48">
        <f t="shared" si="43"/>
        <v>711</v>
      </c>
      <c r="K321" s="39">
        <f>K245</f>
        <v>489</v>
      </c>
      <c r="L321" s="48">
        <f>K270</f>
        <v>655</v>
      </c>
      <c r="M321" s="48">
        <f t="shared" si="44"/>
        <v>480</v>
      </c>
      <c r="N321" s="31">
        <f t="shared" si="37"/>
        <v>874401</v>
      </c>
      <c r="O321" s="35"/>
    </row>
    <row r="322" spans="1:15" ht="12.75">
      <c r="A322" s="30" t="s">
        <v>28</v>
      </c>
      <c r="B322" s="31">
        <f t="shared" si="38"/>
        <v>1068</v>
      </c>
      <c r="C322" s="31">
        <f t="shared" si="45"/>
        <v>1089</v>
      </c>
      <c r="D322" s="31">
        <f t="shared" si="39"/>
        <v>1439</v>
      </c>
      <c r="E322" s="31">
        <f t="shared" si="40"/>
        <v>1638</v>
      </c>
      <c r="F322" s="31">
        <f>K122</f>
        <v>2095700</v>
      </c>
      <c r="G322" s="48">
        <f t="shared" si="41"/>
        <v>599065</v>
      </c>
      <c r="H322" s="48">
        <f t="shared" si="42"/>
        <v>811384</v>
      </c>
      <c r="I322" s="79"/>
      <c r="J322" s="48">
        <f t="shared" si="43"/>
        <v>1001910</v>
      </c>
      <c r="K322" s="78"/>
      <c r="L322" s="48">
        <f>K271</f>
        <v>543363</v>
      </c>
      <c r="M322" s="48">
        <f t="shared" si="44"/>
        <v>919741</v>
      </c>
      <c r="N322" s="76">
        <f t="shared" si="37"/>
        <v>5976397</v>
      </c>
      <c r="O322" s="35">
        <f>+N33*1.8</f>
        <v>0</v>
      </c>
    </row>
    <row r="323" spans="1:15" ht="12.75">
      <c r="A323" s="30" t="s">
        <v>31</v>
      </c>
      <c r="B323" s="31">
        <f t="shared" si="38"/>
        <v>4018879</v>
      </c>
      <c r="C323" s="31">
        <f t="shared" si="45"/>
        <v>2357861</v>
      </c>
      <c r="D323" s="31">
        <f t="shared" si="39"/>
        <v>3916069</v>
      </c>
      <c r="E323" s="31">
        <f t="shared" si="40"/>
        <v>2960120</v>
      </c>
      <c r="F323" s="31">
        <f>K123</f>
        <v>649100</v>
      </c>
      <c r="G323" s="39">
        <f t="shared" si="41"/>
        <v>1563126</v>
      </c>
      <c r="H323" s="39">
        <f t="shared" si="42"/>
        <v>2204336</v>
      </c>
      <c r="I323" s="39">
        <f>K197</f>
        <v>2137494</v>
      </c>
      <c r="J323" s="39">
        <f t="shared" si="43"/>
        <v>1981177</v>
      </c>
      <c r="K323" s="77">
        <f aca="true" t="shared" si="46" ref="K323:K328">K247</f>
        <v>2544686</v>
      </c>
      <c r="L323" s="48">
        <f>K272</f>
        <v>1647497</v>
      </c>
      <c r="M323" s="48">
        <f t="shared" si="44"/>
        <v>1912524</v>
      </c>
      <c r="N323" s="31">
        <f t="shared" si="37"/>
        <v>27892869</v>
      </c>
      <c r="O323" s="35">
        <f>+N323*1.5</f>
        <v>41839303.5</v>
      </c>
    </row>
    <row r="324" spans="1:15" ht="12.75">
      <c r="A324" s="30" t="s">
        <v>32</v>
      </c>
      <c r="B324" s="31">
        <f t="shared" si="38"/>
        <v>33438</v>
      </c>
      <c r="C324" s="31">
        <f t="shared" si="45"/>
        <v>52843</v>
      </c>
      <c r="D324" s="31">
        <f t="shared" si="39"/>
        <v>51242</v>
      </c>
      <c r="E324" s="31">
        <f t="shared" si="40"/>
        <v>108705</v>
      </c>
      <c r="F324" s="31">
        <f>K124</f>
        <v>8882821</v>
      </c>
      <c r="G324" s="48">
        <f t="shared" si="41"/>
        <v>824520</v>
      </c>
      <c r="H324" s="48">
        <f t="shared" si="42"/>
        <v>1023120</v>
      </c>
      <c r="I324" s="48">
        <f>K198</f>
        <v>1054090</v>
      </c>
      <c r="J324" s="48">
        <f t="shared" si="43"/>
        <v>1047648</v>
      </c>
      <c r="K324" s="39">
        <f t="shared" si="46"/>
        <v>939310</v>
      </c>
      <c r="L324" s="48">
        <f>K299</f>
        <v>829560</v>
      </c>
      <c r="M324" s="48">
        <f t="shared" si="44"/>
        <v>829560</v>
      </c>
      <c r="N324" s="31">
        <f t="shared" si="37"/>
        <v>15676857</v>
      </c>
      <c r="O324" s="35">
        <f>+N324*2.5</f>
        <v>39192142.5</v>
      </c>
    </row>
    <row r="325" spans="1:15" ht="12.75">
      <c r="A325" s="30" t="s">
        <v>29</v>
      </c>
      <c r="B325" s="31">
        <f t="shared" si="38"/>
        <v>7935325</v>
      </c>
      <c r="C325" s="31">
        <f t="shared" si="45"/>
        <v>7798345</v>
      </c>
      <c r="D325" s="31">
        <f t="shared" si="39"/>
        <v>7895869</v>
      </c>
      <c r="E325" s="31">
        <f t="shared" si="40"/>
        <v>8192955</v>
      </c>
      <c r="F325" s="31">
        <f>K125</f>
        <v>1178050</v>
      </c>
      <c r="G325" s="48">
        <f t="shared" si="41"/>
        <v>10435510</v>
      </c>
      <c r="H325" s="48">
        <f t="shared" si="42"/>
        <v>10837736</v>
      </c>
      <c r="I325" s="48">
        <f>K199</f>
        <v>10118329</v>
      </c>
      <c r="J325" s="48">
        <f t="shared" si="43"/>
        <v>9585481</v>
      </c>
      <c r="K325" s="39">
        <f t="shared" si="46"/>
        <v>10500485</v>
      </c>
      <c r="L325" s="48">
        <f>K274</f>
        <v>9964884</v>
      </c>
      <c r="M325" s="48">
        <f t="shared" si="44"/>
        <v>10638892</v>
      </c>
      <c r="N325" s="31">
        <f t="shared" si="37"/>
        <v>105081861</v>
      </c>
      <c r="O325" s="34"/>
    </row>
    <row r="326" spans="1:15" ht="12.75">
      <c r="A326" s="30" t="s">
        <v>30</v>
      </c>
      <c r="B326" s="31">
        <f>K22</f>
        <v>423859</v>
      </c>
      <c r="C326" s="31">
        <f t="shared" si="45"/>
        <v>514790</v>
      </c>
      <c r="D326" s="31">
        <f t="shared" si="39"/>
        <v>428658</v>
      </c>
      <c r="E326" s="31">
        <f t="shared" si="40"/>
        <v>470875</v>
      </c>
      <c r="F326" s="31">
        <f>K126</f>
        <v>32931398</v>
      </c>
      <c r="G326" s="48">
        <f t="shared" si="41"/>
        <v>1284581</v>
      </c>
      <c r="H326" s="48">
        <f t="shared" si="42"/>
        <v>1225280</v>
      </c>
      <c r="I326" s="48">
        <f>K200</f>
        <v>1273172</v>
      </c>
      <c r="J326" s="48">
        <f t="shared" si="43"/>
        <v>1115966</v>
      </c>
      <c r="K326" s="39">
        <f t="shared" si="46"/>
        <v>1140381</v>
      </c>
      <c r="L326" s="48">
        <f>K275</f>
        <v>1095302</v>
      </c>
      <c r="M326" s="48">
        <f t="shared" si="44"/>
        <v>1147334</v>
      </c>
      <c r="N326" s="31">
        <f t="shared" si="37"/>
        <v>43051596</v>
      </c>
      <c r="O326" s="34"/>
    </row>
    <row r="327" spans="1:15" ht="12.75">
      <c r="A327" s="30" t="s">
        <v>26</v>
      </c>
      <c r="B327" s="31">
        <f>K23</f>
        <v>24158924</v>
      </c>
      <c r="C327" s="31">
        <f>K50</f>
        <v>24436952</v>
      </c>
      <c r="D327" s="31">
        <f t="shared" si="39"/>
        <v>32714022</v>
      </c>
      <c r="E327" s="31">
        <f t="shared" si="40"/>
        <v>32143172</v>
      </c>
      <c r="F327" s="31">
        <f>K127</f>
        <v>1518824</v>
      </c>
      <c r="G327" s="31">
        <f t="shared" si="41"/>
        <v>28466839</v>
      </c>
      <c r="H327" s="31">
        <f t="shared" si="42"/>
        <v>28927750</v>
      </c>
      <c r="I327" s="31">
        <f>K202</f>
        <v>2158330</v>
      </c>
      <c r="J327" s="31">
        <f t="shared" si="43"/>
        <v>28067024</v>
      </c>
      <c r="K327" s="39">
        <f t="shared" si="46"/>
        <v>27548217</v>
      </c>
      <c r="L327" s="31">
        <f>K276</f>
        <v>28552145</v>
      </c>
      <c r="M327" s="31">
        <f t="shared" si="44"/>
        <v>29485522</v>
      </c>
      <c r="N327" s="31">
        <f t="shared" si="37"/>
        <v>288177721</v>
      </c>
      <c r="O327" s="34"/>
    </row>
    <row r="328" spans="1:15" ht="12.75">
      <c r="A328" s="30" t="s">
        <v>58</v>
      </c>
      <c r="B328" s="31">
        <f>K24</f>
        <v>1925820</v>
      </c>
      <c r="C328" s="31">
        <f t="shared" si="45"/>
        <v>1619495</v>
      </c>
      <c r="D328" s="31">
        <f t="shared" si="39"/>
        <v>1133038</v>
      </c>
      <c r="E328" s="31">
        <f t="shared" si="40"/>
        <v>988694</v>
      </c>
      <c r="F328" s="97">
        <f>K128</f>
        <v>1954</v>
      </c>
      <c r="G328" s="39">
        <f t="shared" si="41"/>
        <v>1193776</v>
      </c>
      <c r="H328" s="39">
        <f t="shared" si="42"/>
        <v>1314576</v>
      </c>
      <c r="I328" s="48">
        <f>K202</f>
        <v>2158330</v>
      </c>
      <c r="J328" s="48">
        <f t="shared" si="43"/>
        <v>2194956</v>
      </c>
      <c r="K328" s="39">
        <f t="shared" si="46"/>
        <v>2153436</v>
      </c>
      <c r="L328" s="39">
        <f>K277</f>
        <v>2175874</v>
      </c>
      <c r="M328" s="49">
        <f t="shared" si="44"/>
        <v>2175875</v>
      </c>
      <c r="N328" s="31">
        <f t="shared" si="37"/>
        <v>19035824</v>
      </c>
      <c r="O328" s="34"/>
    </row>
    <row r="329" spans="1:15" ht="12.75">
      <c r="A329" s="30" t="s">
        <v>36</v>
      </c>
      <c r="B329" s="31">
        <f>K25</f>
        <v>1902</v>
      </c>
      <c r="C329" s="31">
        <f>K52</f>
        <v>2628</v>
      </c>
      <c r="D329" s="31">
        <f t="shared" si="39"/>
        <v>3524</v>
      </c>
      <c r="E329" s="95">
        <f t="shared" si="40"/>
        <v>1423</v>
      </c>
      <c r="F329" s="10"/>
      <c r="G329" s="96">
        <f t="shared" si="41"/>
        <v>1637</v>
      </c>
      <c r="H329" s="30">
        <f>K2456</f>
        <v>0</v>
      </c>
      <c r="I329" s="30">
        <f>K204</f>
        <v>0</v>
      </c>
      <c r="J329" s="48">
        <f t="shared" si="43"/>
        <v>963</v>
      </c>
      <c r="K329" s="39">
        <f>K254</f>
        <v>0</v>
      </c>
      <c r="L329" s="75">
        <f>K278</f>
        <v>4375</v>
      </c>
      <c r="M329" s="50">
        <f t="shared" si="44"/>
        <v>3958</v>
      </c>
      <c r="N329" s="31">
        <f t="shared" si="37"/>
        <v>20410</v>
      </c>
      <c r="O329" s="46"/>
    </row>
    <row r="330" spans="1:14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ht="12.75">
      <c r="A331" t="s">
        <v>87</v>
      </c>
      <c r="J331" s="5"/>
      <c r="K331" s="5"/>
      <c r="L331" s="5"/>
      <c r="M331" s="5"/>
      <c r="N331" s="5"/>
    </row>
    <row r="332" spans="1:14" ht="12.75">
      <c r="A332" t="s">
        <v>76</v>
      </c>
      <c r="E332" t="s">
        <v>59</v>
      </c>
      <c r="J332" s="5"/>
      <c r="K332" s="5"/>
      <c r="L332" s="5"/>
      <c r="M332" s="5"/>
      <c r="N332" s="5"/>
    </row>
    <row r="333" spans="1:14" ht="12.75">
      <c r="A333" s="28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3:14" ht="12.75"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2:14" ht="12.75">
      <c r="B335" s="5"/>
      <c r="C335" s="5"/>
      <c r="D335" s="5"/>
      <c r="E335" s="5"/>
      <c r="G335" s="5"/>
      <c r="H335" s="5"/>
      <c r="I335" s="5"/>
      <c r="J335" s="5"/>
      <c r="K335" s="5"/>
      <c r="L335" s="5"/>
      <c r="M335" s="5"/>
      <c r="N335" s="5"/>
    </row>
    <row r="342" ht="12.75">
      <c r="A342" s="27"/>
    </row>
  </sheetData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5" scale="80" r:id="rId4"/>
  <rowBreaks count="8" manualBreakCount="8">
    <brk id="74" max="255" man="1"/>
    <brk id="146" max="255" man="1"/>
    <brk id="225" max="255" man="1"/>
    <brk id="298" max="255" man="1"/>
    <brk id="335" max="255" man="1"/>
    <brk id="372" max="255" man="1"/>
    <brk id="412" max="255" man="1"/>
    <brk id="451" max="255" man="1"/>
  </rowBreaks>
  <colBreaks count="1" manualBreakCount="1">
    <brk id="15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 UEDA LARA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UEDA LARA</dc:creator>
  <cp:keywords/>
  <dc:description/>
  <cp:lastModifiedBy>lara07</cp:lastModifiedBy>
  <cp:lastPrinted>2009-04-21T15:51:40Z</cp:lastPrinted>
  <dcterms:created xsi:type="dcterms:W3CDTF">1999-04-27T16:30:15Z</dcterms:created>
  <dcterms:modified xsi:type="dcterms:W3CDTF">2009-04-21T15:54:04Z</dcterms:modified>
  <cp:category/>
  <cp:version/>
  <cp:contentType/>
  <cp:contentStatus/>
</cp:coreProperties>
</file>